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50" windowWidth="19420" windowHeight="9590" tabRatio="683" firstSheet="2" activeTab="5"/>
  </bookViews>
  <sheets>
    <sheet name="Γενικά" sheetId="10" r:id="rId1"/>
    <sheet name="Τύποι Παραγωγών-Χειμώνας" sheetId="1" r:id="rId2"/>
    <sheet name="Τύποι Παραγωγών-Καλοκαίρι" sheetId="6" r:id="rId3"/>
    <sheet name="Δεδομένα-Χειμώνας" sheetId="2" r:id="rId4"/>
    <sheet name="Δεδομένα-Καλοκαίρι" sheetId="4" r:id="rId5"/>
    <sheet name="Αποτελέσματα-Χειμώνας" sheetId="3" r:id="rId6"/>
    <sheet name="Αποτελέσματα-Καλοκαίρι" sheetId="9" r:id="rId7"/>
    <sheet name="Συνολικά Αποτελέσματα" sheetId="7" r:id="rId8"/>
  </sheets>
  <calcPr calcId="125725"/>
</workbook>
</file>

<file path=xl/calcChain.xml><?xml version="1.0" encoding="utf-8"?>
<calcChain xmlns="http://schemas.openxmlformats.org/spreadsheetml/2006/main">
  <c r="D32" i="7"/>
  <c r="D33"/>
  <c r="D30"/>
  <c r="D29"/>
  <c r="E18"/>
  <c r="E16"/>
  <c r="E15"/>
  <c r="E14"/>
  <c r="E12"/>
  <c r="E11"/>
  <c r="E10"/>
  <c r="E8"/>
  <c r="E7"/>
  <c r="E6"/>
  <c r="J12"/>
  <c r="J11"/>
  <c r="J10"/>
  <c r="J9"/>
  <c r="J8"/>
  <c r="J7"/>
  <c r="J6"/>
  <c r="D6"/>
  <c r="C50" i="9"/>
  <c r="C51"/>
  <c r="C37"/>
  <c r="C46"/>
  <c r="C49" i="3"/>
  <c r="C37"/>
  <c r="C49" i="9"/>
  <c r="C34" i="3"/>
  <c r="C46"/>
  <c r="C47"/>
  <c r="B50" i="2"/>
  <c r="C47" i="9"/>
  <c r="C35"/>
  <c r="C25"/>
  <c r="C16"/>
  <c r="C15"/>
  <c r="C11"/>
  <c r="C7"/>
  <c r="C6"/>
  <c r="B64" i="4"/>
  <c r="B63"/>
  <c r="B64" i="2"/>
  <c r="B63"/>
  <c r="B54"/>
  <c r="C16" i="3"/>
  <c r="C15"/>
  <c r="C7"/>
  <c r="C11"/>
  <c r="B58" i="2"/>
  <c r="E19" i="7" l="1"/>
  <c r="C34" i="9"/>
  <c r="C12"/>
  <c r="B41" i="2"/>
  <c r="B67" i="4"/>
  <c r="B42"/>
  <c r="B42" i="2"/>
  <c r="B51" s="1"/>
  <c r="B50" i="4"/>
  <c r="B51" s="1"/>
  <c r="B54" s="1"/>
  <c r="B8"/>
  <c r="B41" s="1"/>
  <c r="B55" l="1"/>
  <c r="B55" i="2"/>
  <c r="C6" i="3"/>
  <c r="C12" l="1"/>
  <c r="C18" s="1"/>
  <c r="D18" i="7" s="1"/>
  <c r="C8" i="3"/>
  <c r="D27" i="7"/>
  <c r="C35" i="3" l="1"/>
  <c r="D28" i="7" s="1"/>
  <c r="H12"/>
  <c r="H11"/>
  <c r="H10"/>
  <c r="H9"/>
  <c r="H8"/>
  <c r="H7"/>
  <c r="H6"/>
  <c r="D16"/>
  <c r="D15"/>
  <c r="D14"/>
  <c r="D12"/>
  <c r="D11"/>
  <c r="D10"/>
  <c r="D8"/>
  <c r="D7"/>
  <c r="D19" l="1"/>
  <c r="B43" i="4"/>
  <c r="C13" i="9"/>
  <c r="C8"/>
  <c r="C44" l="1"/>
  <c r="C45"/>
  <c r="C43"/>
  <c r="C23"/>
  <c r="C24"/>
  <c r="B58" i="4"/>
  <c r="C42" i="9" l="1"/>
  <c r="C17"/>
  <c r="C48" l="1"/>
  <c r="C31"/>
  <c r="C21"/>
  <c r="C30" s="1"/>
  <c r="C22"/>
  <c r="C32"/>
  <c r="C33"/>
  <c r="C18"/>
  <c r="B67" i="2"/>
  <c r="B43"/>
  <c r="C36" i="9" l="1"/>
  <c r="C38" s="1"/>
  <c r="C39"/>
  <c r="C13" i="3"/>
  <c r="C23" s="1"/>
  <c r="C25"/>
  <c r="D26" i="7" s="1"/>
  <c r="C45" i="3" l="1"/>
  <c r="C43"/>
  <c r="C44"/>
  <c r="C24"/>
  <c r="C17"/>
  <c r="C33" l="1"/>
  <c r="D25" i="7" s="1"/>
  <c r="C32" i="3"/>
  <c r="D24" i="7" s="1"/>
  <c r="C31" i="3"/>
  <c r="D23" i="7" s="1"/>
  <c r="C21" i="3"/>
  <c r="C22"/>
  <c r="C42"/>
  <c r="C51" s="1"/>
  <c r="C30" l="1"/>
  <c r="C36" s="1"/>
  <c r="C38" s="1"/>
  <c r="C48"/>
  <c r="C50" s="1"/>
  <c r="D22" i="7" l="1"/>
  <c r="D31" s="1"/>
  <c r="C39" i="3"/>
</calcChain>
</file>

<file path=xl/sharedStrings.xml><?xml version="1.0" encoding="utf-8"?>
<sst xmlns="http://schemas.openxmlformats.org/spreadsheetml/2006/main" count="482" uniqueCount="225">
  <si>
    <t>Αριθμός Μονοκατοικιών</t>
  </si>
  <si>
    <t>Αριθμός Διαμερισμάτων</t>
  </si>
  <si>
    <t>Αριθμός Πολυκατοικιών</t>
  </si>
  <si>
    <t>Κάδοι</t>
  </si>
  <si>
    <t>Κάδος Κουζίνας (5 λίτρα)</t>
  </si>
  <si>
    <t>Ευρώ</t>
  </si>
  <si>
    <t>Κάδος Κουζίνας (εμπορικές δραστηριότητες)</t>
  </si>
  <si>
    <t>Κάδος Συλλογής- Οικία - 25 λίτρα</t>
  </si>
  <si>
    <t>Κάδος Συλλογής - Πολυκατοικία - 120 λίτρα</t>
  </si>
  <si>
    <t>Κάδος Συλλογής - 660 λίτρα</t>
  </si>
  <si>
    <t>Σακούλια</t>
  </si>
  <si>
    <t>Σακούλι (7 λίτρα)</t>
  </si>
  <si>
    <t>Σακούλι (140 λίτρα)</t>
  </si>
  <si>
    <t>Όχημα Συλλογής - Αστικές και Ημιαστικές Περιοχές</t>
  </si>
  <si>
    <t>Οχημα Συλλογής - Ορεινές και Απομακρυσμένες Περιοχές</t>
  </si>
  <si>
    <t>Ετήσιος Μισθός Ελεγκτή</t>
  </si>
  <si>
    <t xml:space="preserve">Ετήσιος Μισθός Οδηγού </t>
  </si>
  <si>
    <t>Ετήσιος Μισθός Συλλέκτη</t>
  </si>
  <si>
    <t>Κόστος Καυσίμου (Πετρελαίου, Ιούνιος 2019)</t>
  </si>
  <si>
    <t>Ευρώ/ λίτρο</t>
  </si>
  <si>
    <t>σημεία</t>
  </si>
  <si>
    <t>km</t>
  </si>
  <si>
    <t>μέρες</t>
  </si>
  <si>
    <t>Κατανάλωση Οχήματος Συλλογής (αστικό/ ημιαστικό)</t>
  </si>
  <si>
    <t>l/km</t>
  </si>
  <si>
    <t>Κατανάλωση Μικρού Οχήματος Συλλογής (απομακρυσμένες/ ορεινές)</t>
  </si>
  <si>
    <t>Ετήσιο Κόστος Ασφάλειας Οχήματος</t>
  </si>
  <si>
    <t>Ευρώ/όχημα</t>
  </si>
  <si>
    <t>Ετήσιο Κόστος Άδειας Κυκλοφορίας</t>
  </si>
  <si>
    <t>Ετήσιο Κόστος Συντήρησης Οχήματος</t>
  </si>
  <si>
    <t>Ετήσιο Κόστος Ελαστικών Αυτοκινήτου</t>
  </si>
  <si>
    <t>Ετήσιο Κόστος Πλύσης Οχήματος</t>
  </si>
  <si>
    <t>Ετήσιο Κόστος Άδειας Μεταφοράς Αποβλήτων</t>
  </si>
  <si>
    <t>Ευρώ/ όχημα</t>
  </si>
  <si>
    <t>Αποσβέσεις</t>
  </si>
  <si>
    <t>Ετήσιο Κόστος Απόσβεσης Εξοπλισμού</t>
  </si>
  <si>
    <t>Μέσος Όρος Ατόμων ανά Οικογένεια</t>
  </si>
  <si>
    <t>κιλά/ ημέρα</t>
  </si>
  <si>
    <t>Αριθμός Εμπορικών Καταλυμάτων που ΔΕΝ Δραστηριοποιούνται στον Τομέα Παραγωγής ή Πώλησης Τροφίμων</t>
  </si>
  <si>
    <t>Αριθμός Εμπορικών Καταλυμάτων Τύπου HoReCa, Νοσοκομεία και Κλινικές, Εργοστάσια Παραγωγής Τροφίμων και Άλλες Επιχειρήσεις που Δραστηριοποιούνται στον Τομέα Παραγωγής ή Πώλησης Τροφίμων</t>
  </si>
  <si>
    <t>Κεφαλαιούχο Κόστος Εξοπλισμού Συστήματος Συλλογής</t>
  </si>
  <si>
    <t>Κάδοι Κουζίνας για Επιχειρήσεις που ΔΕΝ Δραστηριοποιούνται στον Τομέα Παραγωγής ή Πώλησης Τροφίμων</t>
  </si>
  <si>
    <t>Κάδοι Κουζίνας για Επιχειρήσεις που  Δραστηριοποιούνται στον Τομέα Παραγωγής ή Πώλησης Τροφίμων</t>
  </si>
  <si>
    <t>Κάδοι Συλλογής για Οικιακό Ρεύμα (μονοκατοικίες και πολυκατοικίες)</t>
  </si>
  <si>
    <t>Κάδοι Κουζίνας για Οικιακό Ρεύμα (μονοκατοικίες και πολυκατοικίες)</t>
  </si>
  <si>
    <t>Κόστος Βιοδιασπώμενων Σακούλων για Οικιακό Ρεύμα (10 πρώτες δωρεάν)</t>
  </si>
  <si>
    <t xml:space="preserve">Αριθμός Δωρεάν Σακούλων σε Οικίες και Διαμερίσματα </t>
  </si>
  <si>
    <t>Οικίες και Πολυκατοικίες</t>
  </si>
  <si>
    <t>Επιχειρήσεις που ΔΕΝ Δραστηριοποιούνται στον Τομέα Παραγωγής ή Πώλησης Τροφίμων</t>
  </si>
  <si>
    <t>Κάδοι Συλλογής για Επιχειρήσεις που ΔΕΝ Δραστηριοποιούνται στον Τομέα Παραγωγής ή Πώλησης Τροφίμων</t>
  </si>
  <si>
    <t>Κόστος Βιοδιασπώμενων Σακούλων για Επιχειρήσεις που ΔΕΝ Δραστηριοποιούνται στον Τομέα Παραγωγής ή Πώλησης Τροφίμων (10 πρώτες δωρεάν)</t>
  </si>
  <si>
    <t>Επιχειρήσεις που Δραστηριοποιούνται στον Τομέα Παραγωγής ή Πώλησης Τροφίμων</t>
  </si>
  <si>
    <t>Κάδοι Συλλογής για Επιχειρήσεις που Δραστηριοποιούνται στον Τομέα Παραγωγής ή Πώλησης Τροφίμων</t>
  </si>
  <si>
    <t>Κόστος Βιοδιασπώμενων Σακούλων για Επιχειρήσεις που Δραστηριοποιούνται στον Τομέα Παραγωγής ή Πώλησης Τροφίμων (10 πρώτες δωρεάν)</t>
  </si>
  <si>
    <t>Οχήματα Συλλογής</t>
  </si>
  <si>
    <t>Εμπορικό Ρεύμα - Επιχειρήσεις που  δραστηριοποιούνται στον Τομέα Παραγωγής ή Πώλησης Τροφίμων</t>
  </si>
  <si>
    <t>Απαιτούμενος χρόνος ανά σημείο συλλογής συμπ. Χρόνου κίνησης</t>
  </si>
  <si>
    <t>λεπτά</t>
  </si>
  <si>
    <t>άτομο</t>
  </si>
  <si>
    <t>Χωρητικότητα Οχήματος Συλλογής</t>
  </si>
  <si>
    <t>Μέσος Όρος Παραγωγής Οργανικών Απορριμμάτων Κουζίνας από Επιχειρήσεις που ΔΕΝ Δραστηριοποιούνται στον Τομέα Πώλησης και Ετοιμασίας Τροφίμων</t>
  </si>
  <si>
    <t>Μέσος Όρος Παραγωγής Οργανικών Απορριμμάτων Κουζίνας από Επιχειρήσεις που Δραστηριοποιούνται στον Τομέα Πώλησης και Ετοιμασίας Τροφίμων</t>
  </si>
  <si>
    <t>κιλά</t>
  </si>
  <si>
    <t>Με βάση τη χωρητικότητα των οχημάτων</t>
  </si>
  <si>
    <t>Με βάση τα σημεία συλλογής, για συλλογή 2 φορές/εβδομάδα/σημείο</t>
  </si>
  <si>
    <t>Με βάση τα σημεία συλλογής, για συλλογή 7 φορές/εβδομάδα/σημείο</t>
  </si>
  <si>
    <t>οχήματα</t>
  </si>
  <si>
    <t>Κόστος Αγοράς Οχημάτων Συλλογής</t>
  </si>
  <si>
    <t>Με βάση την χωρητικότητα των οχημάτων</t>
  </si>
  <si>
    <t>Προσωπικό Συλλογής</t>
  </si>
  <si>
    <t xml:space="preserve">Προσωπικό Ελέγχου Ποιότητας </t>
  </si>
  <si>
    <t>Κόστος Κίνησης Οχημάτων</t>
  </si>
  <si>
    <t>Άλλα Κόστη Οχημάτων Συλλογής</t>
  </si>
  <si>
    <t>Ελέγχος Ποιότητας</t>
  </si>
  <si>
    <t>Απαιτούμενος χρόνος ανά σημείο συλλογής</t>
  </si>
  <si>
    <t>λεπτό</t>
  </si>
  <si>
    <t>σημεία/μήνα</t>
  </si>
  <si>
    <t>Αριθμός Ελεγκτών Πλήρους Απασχόλησης, έλεγχος 100% σημείων</t>
  </si>
  <si>
    <t>ελεγκτές</t>
  </si>
  <si>
    <t>Έξοδα Προώθησης/ Ενημέρωσης</t>
  </si>
  <si>
    <t>Κόστος Ενημερωτικού Υλικού ανά Σημείο Συλλογής</t>
  </si>
  <si>
    <t>Προώθηση/Ενημέρωση</t>
  </si>
  <si>
    <t>Gate Fees</t>
  </si>
  <si>
    <t xml:space="preserve">Gate fees </t>
  </si>
  <si>
    <t>Ευρώ/έτος</t>
  </si>
  <si>
    <t>Ευρώ/τόνο</t>
  </si>
  <si>
    <t>Σύνολο</t>
  </si>
  <si>
    <t>κιλά/ημέρα</t>
  </si>
  <si>
    <t>Ευρώ/ έτος</t>
  </si>
  <si>
    <t>Έξοδα Κίνησης Οχημάτων Συλλογής</t>
  </si>
  <si>
    <t>Κόστος Απόσβεσης Οχημάτων Συλλογής</t>
  </si>
  <si>
    <t>Αλλα Έξοδα Οχημάτων Συλλογής (Ασφάλεια, Άδειες, Πλύση, Ελαστικά, Συντήρηση)</t>
  </si>
  <si>
    <t>Φύλλο Εισαγωγής Δεδομένων</t>
  </si>
  <si>
    <t>Στοιχεία για τον Υπολογισμό του Κόστους Υλοποίησης του Συστήματος</t>
  </si>
  <si>
    <t>σακούλες/κάδο κουζίνας</t>
  </si>
  <si>
    <t>Κάδοι Κουζίνας για Οικιακό Ρεύμα (1 κάδος/μονοκατοικία και διαμέρισμα)</t>
  </si>
  <si>
    <t>Κάδοι Συλλογής για Πολυκατοικίες (120 λίτρα, 1 κάδος/πολυκατοικία)</t>
  </si>
  <si>
    <t>Κάδοι Συλλογής για Μονοκατοικίες (25 λίτρα, 1 κάδος/ μονοκατοικία)</t>
  </si>
  <si>
    <t>Δωρεάν Βιοδιασπώμενες Σακούλες για Οικιακό Ρεύμα (10/κάδο κουζίνας)</t>
  </si>
  <si>
    <t>Κάδοι Κουζίνας για Επιχειρήσεις που ΔΕΝ Δραστηριοποιούνται στον Τομέα Παραγωγής ή Πώλησης Τροφίμων (1 κάδος/ επιχείρηση)</t>
  </si>
  <si>
    <t>Κάδοι Συλλογής για Επιχειρήσεις που ΔΕΝ Δραστηριοποιούνται στον Τομέα Παραγωγής ή Πώλησης Τροφίμων (1 κάδος/ επιχείρηση)</t>
  </si>
  <si>
    <t>Δωρεάν Βιοδιασπώμενες Σακούλες για Επιχειρήσεις που ΔΕΝ Δραστηριοποιούνται στον Τομέα Παραγωγής ή Πώλησης Τροφίμων (10/επιχείρηση)</t>
  </si>
  <si>
    <t>κάδοι</t>
  </si>
  <si>
    <t>σακούλες</t>
  </si>
  <si>
    <t>οδηγοί</t>
  </si>
  <si>
    <t>συλλέκτες</t>
  </si>
  <si>
    <t>Μισθοί Προσωπικού Συλλογής</t>
  </si>
  <si>
    <t>Απόσταση που Διανύει το κάθε Όχημα/ Βάρδια (συμπ προς και από μονάδα επεξεργασίας)</t>
  </si>
  <si>
    <t>Συνολικό Κεφαλαιούχο Κόστος</t>
  </si>
  <si>
    <t>Συνολικό Λειτουργικό Κόστος</t>
  </si>
  <si>
    <t>Συλλέκτες ανά βάρδια/ όχημα σε αστικές/ημιαστικές/ μεγάλες/τουριστικές κοινότητες</t>
  </si>
  <si>
    <t>Οδηγοί ανά βάρδια/ όχημα σε αστικές/ημιαστικές/ μεγάλες/ τουριστικές κοινότητες</t>
  </si>
  <si>
    <t>Σημεία Συλλογής ανά Μήνα (8 ώρες/ημέρα, 21 ημέρες/μήνα))</t>
  </si>
  <si>
    <t>Ευρώ/σημείο συλλογής/έτος</t>
  </si>
  <si>
    <t>Εργάσιμες Μέρες/ Έτος (6 μέρες την εβδομάδα πλυν 14 αργίες πλυν 20 μέρες άδειας πλυν 3 μέρες ασθενείας)</t>
  </si>
  <si>
    <t>Υπολογισμός Απαραίτητων  Οχημάτων Συλλογής Οικιακού και Εμπορικού (που ΔΕΝ δραστηριοποιείται στο τομέα ετοιμασίας και πώλησης τροφίμων) Κλάσματος (Καλοκαίρι)</t>
  </si>
  <si>
    <t>Συλλέκτες ανά βάρδια/ όχημα</t>
  </si>
  <si>
    <t>Οδηγοί ανά βάρδια/ όχημα</t>
  </si>
  <si>
    <t>φορά/βδομάδα</t>
  </si>
  <si>
    <t xml:space="preserve">Συχνότητα συλλογής </t>
  </si>
  <si>
    <t>Μέσος Όρος Παραγωγής Οργανικών Απορριμμάτων Κουζίνας σε Οικίες ανά βάρδια</t>
  </si>
  <si>
    <t>Παραγωγή Οργανικών Απορριμμάτων για την περίοδο Νοέμβριος- Αρπίλιος</t>
  </si>
  <si>
    <t>Χρόνος συλλογής ανά σημείο</t>
  </si>
  <si>
    <t>ώρες</t>
  </si>
  <si>
    <t>κιλά/οικία/βάρδια</t>
  </si>
  <si>
    <t>Υπολογισμός Απαραίτητων  Οχημάτων Συλλογής Οικιακού και Εμπορικού (που ΔΕΝ δραστηριοποιείται στο τομέα ετοιμασίας και πώλησης τροφίμων) Κλάσματος (Χειμώνας)</t>
  </si>
  <si>
    <t>Ευρώ/ 6 μήνες</t>
  </si>
  <si>
    <t>* γιατί είναι 365 μέρες, δεν θα ήταν πιο σωστό να βάλουμε 275?</t>
  </si>
  <si>
    <t>Λειτουργικά Έξοδα ανά Κλάσμα (δεν συμπ. το κόστος προσωπικού ελέγχου)- Χειμώνας</t>
  </si>
  <si>
    <t>φορά/ημέρα</t>
  </si>
  <si>
    <t>Υπολογισμός Απαραίτητων Βάρδιων Οχημάτων Συλλογής  Εμπορικού (που  δραστηριοποιείται στο τομέα ετοιμασίας και πώλησης τροφίμων) Κλάσματος (Χειμώνας)</t>
  </si>
  <si>
    <r>
      <t>Για την περίοδο</t>
    </r>
    <r>
      <rPr>
        <b/>
        <sz val="20"/>
        <color theme="0"/>
        <rFont val="Calibri"/>
        <family val="2"/>
        <scheme val="minor"/>
      </rPr>
      <t xml:space="preserve"> </t>
    </r>
    <r>
      <rPr>
        <b/>
        <sz val="20"/>
        <color rgb="FFFF0000"/>
        <rFont val="Calibri"/>
        <family val="2"/>
        <scheme val="minor"/>
      </rPr>
      <t>Νοέμβριος- Αρπίλιος</t>
    </r>
  </si>
  <si>
    <t>Χειμωνας (Νοέμβριος- Απρίλιος)</t>
  </si>
  <si>
    <r>
      <t>Για την περίοδο</t>
    </r>
    <r>
      <rPr>
        <b/>
        <sz val="20"/>
        <color theme="0"/>
        <rFont val="Calibri"/>
        <family val="2"/>
        <scheme val="minor"/>
      </rPr>
      <t xml:space="preserve"> </t>
    </r>
    <r>
      <rPr>
        <b/>
        <sz val="20"/>
        <color rgb="FFFF0000"/>
        <rFont val="Calibri"/>
        <family val="2"/>
        <scheme val="minor"/>
      </rPr>
      <t>Μάιος- Οκτώβριος</t>
    </r>
  </si>
  <si>
    <t>Καλοκαίρι (Μάιος- Οκτώβριος)</t>
  </si>
  <si>
    <t>Παραγωγή Οργανικών Απορριμμάτων για την περίοδο Μάιος- Οκτώβριος</t>
  </si>
  <si>
    <t>φορές/βδομάδα</t>
  </si>
  <si>
    <t>Αναμενόμενη Ποσότητα Οργανικών Απορριμμάτων ανά Ημέρα (Χειμώνας)</t>
  </si>
  <si>
    <t>Αναμενόμενη Ποσότητα Οργανικών Απορριμμάτων ανά Ημέρα (Καλοκαίρι)</t>
  </si>
  <si>
    <t>Λειτουργικά Έξοδα - Συλλογικό Σύστημα Ετήσια</t>
  </si>
  <si>
    <t xml:space="preserve">Υπολογισμός Ελάχιστου Απαιτούμενου Προσωπικού (Χειμώνας) </t>
  </si>
  <si>
    <t>Συνολικός Αριθμός Απαιτούμενων Οχημάτων (Χειμώνας)</t>
  </si>
  <si>
    <t>Ευρώ/ Σημείο Συλλογής /6 μήνες</t>
  </si>
  <si>
    <t>Ευρώ/ επιχείρηση /6 μήνες</t>
  </si>
  <si>
    <t>Από Επιχειρήσεις που Δραστηριοποιούνται στο Τομέα Παραγωγής και Πώλησης Τροφίμων- Χειμώνας</t>
  </si>
  <si>
    <t xml:space="preserve">Σύνολο Απαραίτητων Οχημάτων Οικιακού </t>
  </si>
  <si>
    <t xml:space="preserve">Σύνολο Απαραίτητων Οχημάτων Εμπορικού </t>
  </si>
  <si>
    <t>Υπολογισμός Απαραίτητων Βάρδιων Οχημάτων Συλλογής  Εμπορικού (που  δραστηριοποιείται στο τομέα ετοιμασίας και πώλησης τροφίμων) Κλάσματος (Καλοκαίρι)</t>
  </si>
  <si>
    <t>Συνολικός Αριθμός Απαιτούμενων Οχημάτων (Καλοκαίρι)</t>
  </si>
  <si>
    <t xml:space="preserve">Υπολογισμός Ελάχιστου Απαιτούμενου Προσωπικού (Καλοκαίρι) </t>
  </si>
  <si>
    <t>Από Επιχειρήσεις που Δραστηριοποιούνται στο Τομέα Παραγωγής και Πώλησης Τροφίμων- Καλοκαίρι</t>
  </si>
  <si>
    <t>Οικιακό Κλάσμα- Καλοκαίρι</t>
  </si>
  <si>
    <r>
      <t xml:space="preserve">Αποτελέσματα Υπολογισμών Παραγωγής Αποβλήτων για την περίοδο </t>
    </r>
    <r>
      <rPr>
        <b/>
        <sz val="14"/>
        <color rgb="FFFF0000"/>
        <rFont val="Calibri"/>
        <family val="2"/>
        <scheme val="minor"/>
      </rPr>
      <t>Νοέμβριος- Αρπίλιος</t>
    </r>
    <r>
      <rPr>
        <b/>
        <sz val="14"/>
        <color theme="0"/>
        <rFont val="Calibri"/>
        <family val="2"/>
        <scheme val="minor"/>
      </rPr>
      <t>: Ανάγκες σε Προσωπικό, Οχήματα και Λειτουργικό Κόστος Υλοποίηση Συστήματος Συλλογής Οργανικών Αποβλήτων Κουζίνας για Αστικές, Ημιαστικές, Τουριστικές ΑΤΑ</t>
    </r>
  </si>
  <si>
    <r>
      <t xml:space="preserve">Αποτελέσματα Υπολογισμών Παραγωγής Αποβλήτων για την περίοδο </t>
    </r>
    <r>
      <rPr>
        <b/>
        <sz val="14"/>
        <color rgb="FFFF0000"/>
        <rFont val="Calibri"/>
        <family val="2"/>
        <scheme val="minor"/>
      </rPr>
      <t>Μάιος- Οκτώβριος:</t>
    </r>
    <r>
      <rPr>
        <b/>
        <sz val="14"/>
        <color theme="0"/>
        <rFont val="Calibri"/>
        <family val="2"/>
        <scheme val="minor"/>
      </rPr>
      <t xml:space="preserve"> Ανάγκες σε Προσωπικό, Οχήματα και Λειτουργικό Κόστος Υλοποίηση Συστήματος Συλλογής Οργανικών Αποβλήτων Κουζίνας για Αστικές, Ημιαστικές, Τουριστικές ΑΤΑ</t>
    </r>
  </si>
  <si>
    <t>Υπολογισμός Συνολικού Κεφαλαιουχικού και Λειτουργικού Κόστους Συστήματος</t>
  </si>
  <si>
    <t>Ευρώ/ τόνο</t>
  </si>
  <si>
    <t>Στοιχεία Συλλογής από Οικίες και επιχειρήσεις που ΔΕΝ Δραστηριοποιούνται στον Τομέα Παραγωγής ή Πώλησης Τροφίμων για την περίοδο Νοέμβριος- Αρπίλιος</t>
  </si>
  <si>
    <t>Στοιχεία Συλλογής από Επιχειρήσεις που δραστηριοποιούνται στον τομέα Παραγωγής ή Πώλησης Τροφίμων- για την περίοδο Νοέμβριος- Αρπίλιος</t>
  </si>
  <si>
    <t>Στοιχεία Συλλογής από Οικίες και επιχειρήσεις που ΔΕΝ Δραστηριοποιούνται στον Τομέα Παραγωγής ή Πώλησης Τροφίμων για την περίοδο Μάιος- Οκτώβριος</t>
  </si>
  <si>
    <t>Παράρτημα Ι.Α</t>
  </si>
  <si>
    <t>Εργαλείο Υπολογισμού Κόστους Συστήματος</t>
  </si>
  <si>
    <t>* αριθμός των τύπων παραγωγών επί 2 επειδή η συλλογή γίνεται δύο φορές την εβδομάδα</t>
  </si>
  <si>
    <t>κιλά/οικία/ημέρα</t>
  </si>
  <si>
    <t>σημεία συλλογής/βάρδια</t>
  </si>
  <si>
    <t>Σημεία συλλογής ανά όχημα βάσει της χωρητικότητας του οχήματος</t>
  </si>
  <si>
    <t>Χρόνος βάρδιος</t>
  </si>
  <si>
    <t>Κάδος Κουζίνας (εμπορικές δραστηριότητες 120 λίτρα)</t>
  </si>
  <si>
    <t>Συνολικός χρόνος συλλογής με βάση τη μέγιστη χωρητικότητα του οχήματος συλλογής</t>
  </si>
  <si>
    <t>Σημεια συλλογής στη βάση του χρόνου βάρδιας</t>
  </si>
  <si>
    <t>Μέσος Όρος Παραγωγής Οργανικών Απορριμμάτων Κουζίνας σε Οικίες - Καλοκαίρι ανά ημέρα</t>
  </si>
  <si>
    <t>*σημεία συλλογής/ μέγιστο αριθμό σημείων ανά βάρβια* 6 συλλογές τη βδομάδα (διαφορετικά σημεία κάθε συλλογή)</t>
  </si>
  <si>
    <t>Συνολικό Κόστος για Οικιακό Κλάσμα</t>
  </si>
  <si>
    <t>Συνολικό Κόστος για Οργανικά από Επιχειρήσεις</t>
  </si>
  <si>
    <t xml:space="preserve">Συνολικό Κόστος ανά Επιχείρηση </t>
  </si>
  <si>
    <t xml:space="preserve">Συλλεγείσα ποσότητα οργανικών ανα βάρδια </t>
  </si>
  <si>
    <t>Πληρότητα οχήματος ανα βάρδια</t>
  </si>
  <si>
    <t>Αριθμός κύκλων συλλογής/μεταφοράς</t>
  </si>
  <si>
    <t>κύκλος</t>
  </si>
  <si>
    <t>Συνολικά ημερήσια σημεία συλλογής</t>
  </si>
  <si>
    <t>σημεία συλλογής/μέρα</t>
  </si>
  <si>
    <r>
      <t>Σημεία συλλογής ανά όχημα σε πλήρη λειτουργία (7 ημέρες/ εβδομάδα</t>
    </r>
    <r>
      <rPr>
        <sz val="14"/>
        <rFont val="Calibri"/>
        <family val="2"/>
        <charset val="161"/>
        <scheme val="minor"/>
      </rPr>
      <t>, 7.5 ώρες την ημέρα</t>
    </r>
    <r>
      <rPr>
        <sz val="14"/>
        <rFont val="Calibri"/>
        <family val="2"/>
        <scheme val="minor"/>
      </rPr>
      <t>)</t>
    </r>
  </si>
  <si>
    <t>Οδηγοί ανά βάρδια/ όχημα σε αστικές/ημιαστικές/ μεγάλες/ τουριστικές κοινότητες ο οποίος θα έχει και το ρόλο του συλλέκτη</t>
  </si>
  <si>
    <t>κιλά ανά βάρδια</t>
  </si>
  <si>
    <t>Χρόνος βάρδιας</t>
  </si>
  <si>
    <t xml:space="preserve">*μια βάρδια είναι 8 ώρες, ενας συλλέκτης μπορεί να περπατά 4 ώρες, άρα σε μία βάρδια μπορούμε να εναλλάξουμε συλλέκτες. Άρα δύο συλλέκτες ανά βάρδια που ο ένας θα αλλάζει τον άλλο. Ο οδηγός παραμένει ο ίδιος </t>
  </si>
  <si>
    <t>Οικιακό Ρεύμα  και Εμπορικό Ρεύμα - Επιχειρήσεις που ΔΕΝ δραστηριοποιούνται στον Τομέα Παραγωγής ή Πώλησης Τροφίμωνανα βάρδια (μονοκατοικίες και πολυκατοικίες) - Χειμώνας</t>
  </si>
  <si>
    <t>Με βάση το χρόνο συλλογής ανά σημείο, για συλλογή 1 φορά/εβδομάδα/σημείο</t>
  </si>
  <si>
    <t>Με βάση το χρόνο συλλογής ανά σημείο, για συλλογή 7 φορές/εβδομάδα/σημείο</t>
  </si>
  <si>
    <t>Αριθμός Συλλεκτών Οικιακού κλάσματος (1 συλλέκτης/όχημα, μόνο για το οικιακό κλάσμα)</t>
  </si>
  <si>
    <t>Αριθμός Συλλεκτών Εμπορικου κλάσματος (ο οδηγός θα είναι και συλλέκτης)</t>
  </si>
  <si>
    <t>Οικιακό Κλάσμα (Περιλαμβάνει και τις επιχειρήσεις που δε δραστηριοποιούνται στον τομέα παραγωγής και πώλησης τροφίμων)- Χειμώνας</t>
  </si>
  <si>
    <t>*συνολικά παραγώμενα κιλά/ μέγιστο επιτρεπόμενο βάρος αυτοκινήτου συλλογής</t>
  </si>
  <si>
    <t>Αριθμός Οδηγών Οχημάτων Εμπορικού Κλάσματος (1 οδηγός/όχημα)</t>
  </si>
  <si>
    <t>Αριθμός Οδηγών Οχημάτων Οικιακού Κλάσματος (1 οδηγός/όχημα)</t>
  </si>
  <si>
    <t>κιλά/ημέρα (βάρδια)</t>
  </si>
  <si>
    <t>Σημεία συλλογής ανά όχημα βάσει χωρητικότητας οχήματος</t>
  </si>
  <si>
    <r>
      <t>Σημεία συλλογής ανά όχημα σε πλήρη λειτουργία (7 ημέρες/ εβδομάδα,</t>
    </r>
    <r>
      <rPr>
        <sz val="14"/>
        <rFont val="Calibri"/>
        <family val="2"/>
        <scheme val="minor"/>
      </rPr>
      <t>7.5 ώρες την ημέρα)</t>
    </r>
  </si>
  <si>
    <t xml:space="preserve">Συνολικό Κόστος Συλλογής-Μεταφοράς </t>
  </si>
  <si>
    <t>Αριθμός κύκλων συλλογής/μεταφοράς ανά ημέρα</t>
  </si>
  <si>
    <t>Συλλεγείσα ποσότητα οργανικών ανα ημέρα</t>
  </si>
  <si>
    <t>κιλά ανά ημέρα</t>
  </si>
  <si>
    <t xml:space="preserve">Πληρότητα οχήματος ανα ημέρα </t>
  </si>
  <si>
    <t>κιλά/ημέρα (2 κύκλοι βάρδιας)</t>
  </si>
  <si>
    <t>Το έργαλείο αυτό έχει ετοιμαστεί για σκοπούς ενδεικτικού υπολογισμού: 1.  του κεφαλαιουχικού και λειτουργικού κόστους και 2. των αναγκών σε ανθρώπινο δυναμικό και εξοπλισμό του  Συστήματος Συλλογής Οργανικών Αποβλήτων της κάθε Αρχής Τοπικής Αυτοδιοίκησης (ATA). Για οδηγίες συμβουλευτείτε τον Οδηγό Εργαλείου Υπολογισμού Κόστους Συστήματος (Παράρτημα Ι.Β)</t>
  </si>
  <si>
    <t>Χειμώνας</t>
  </si>
  <si>
    <t>Καλοκαίρι</t>
  </si>
  <si>
    <t xml:space="preserve">Υπολογισμός Απαιτούμενων Κάδων και Σακούλων </t>
  </si>
  <si>
    <t>Υπολογισμός Αναγκών Εξοπλισμού</t>
  </si>
  <si>
    <t>Ευρώ/ ανά σημείο οικία/επιχείρηση ανά έτος</t>
  </si>
  <si>
    <t>Ευρώ/ ανά σημείο επιχείρηση ανά έτος</t>
  </si>
  <si>
    <t>Συνολικό Κόστος Συλλογής Οικία/ Επιχείρηση (που Δεν Δραστηριοποιείται στον τομέα Παραγωγής και Πώλησης Τροφίμων)</t>
  </si>
  <si>
    <t>Συνολικό Κόστος Συλλογής ανά Επιχείρηση (που Δραστηριοποιείται στον τομέα Παραγωγής και Πώλησης Τροφίμων)</t>
  </si>
  <si>
    <t>Συνολικό Κόστος Συλλογής-Μεταφοράς ανά Οικία/ Επιχείρηση (που Δεν Δραστηριοποιείται στον τομέα Παραγωγής και Πώλησης Τροφίμων)</t>
  </si>
  <si>
    <t>Συνολικό Κόστος Συλλογής-Μεταφοράς ανά Επιχείρηση</t>
  </si>
  <si>
    <t>Συνολικό Κόστος Συλλογής-Μεταφοράς για Οργανικά από Επιχειρήσεις</t>
  </si>
  <si>
    <t>Συνολικό Κόστος Συλλογής-Μεταφοράς</t>
  </si>
  <si>
    <t>Συνολικό Λειτουργικό Κόστος για Οργανικά από Επιχειρήσεις</t>
  </si>
  <si>
    <t>Κόστος συλλογής- μεταφοράς για Οργανικά από Επιχειρήσεις</t>
  </si>
  <si>
    <t xml:space="preserve">Συνολικό Λειτουργικό Κόστος ανά Επιχείρηση </t>
  </si>
  <si>
    <t>Κόστος Συλλογής - Μεταφοράς ανά Επιχείρηση</t>
  </si>
  <si>
    <t>Συνολικό Λειτουργικό Κόστος για Οικιακό Κλάσμα</t>
  </si>
  <si>
    <t xml:space="preserve">Συνολικό Κόστος Συλλογής- Μεταφοράς </t>
  </si>
  <si>
    <t>Συνολικό Λειτουργικό Κόστος ανά Οικία/ Επιχείρηση (που Δεν Δραστηριοποιείται στον τομέα Παραγωγής και Πώλησης Τροφίμων) περιλαμβανομένου του GATE FEE</t>
  </si>
  <si>
    <t>Συνολικό Κόστος Οικία/ Επιχείρηση (που Δεν Δραστηριοποιείται στον τομέα Παραγωγής και Πώλησης Τροφίμων) Περιλαμβανομένου του Gate Fee</t>
  </si>
  <si>
    <t xml:space="preserve">Συνολικό Κόστος Συλλογής-Μεταφοράς ανά Τόνο </t>
  </si>
</sst>
</file>

<file path=xl/styles.xml><?xml version="1.0" encoding="utf-8"?>
<styleSheet xmlns="http://schemas.openxmlformats.org/spreadsheetml/2006/main">
  <numFmts count="4">
    <numFmt numFmtId="164" formatCode="[$€-2]\ #,##0"/>
    <numFmt numFmtId="165" formatCode="[$€-2]\ #,##0.00"/>
    <numFmt numFmtId="166" formatCode="0.0"/>
    <numFmt numFmtId="167" formatCode="0.0%"/>
  </numFmts>
  <fonts count="20">
    <font>
      <sz val="11"/>
      <color theme="1"/>
      <name val="Calibri"/>
      <family val="2"/>
      <scheme val="minor"/>
    </font>
    <font>
      <sz val="14"/>
      <color theme="1"/>
      <name val="Calibri"/>
      <family val="2"/>
      <scheme val="minor"/>
    </font>
    <font>
      <sz val="11"/>
      <color theme="1"/>
      <name val="Calibri"/>
      <family val="2"/>
      <charset val="161"/>
      <scheme val="minor"/>
    </font>
    <font>
      <sz val="14"/>
      <color theme="1"/>
      <name val="Calibri"/>
      <family val="2"/>
      <charset val="161"/>
      <scheme val="minor"/>
    </font>
    <font>
      <b/>
      <sz val="11"/>
      <color theme="1"/>
      <name val="Times New Roman"/>
      <family val="1"/>
    </font>
    <font>
      <sz val="11"/>
      <color theme="1"/>
      <name val="Calibri"/>
      <family val="2"/>
      <scheme val="minor"/>
    </font>
    <font>
      <sz val="11"/>
      <color rgb="FFFF0000"/>
      <name val="Calibri"/>
      <family val="2"/>
      <scheme val="minor"/>
    </font>
    <font>
      <sz val="11"/>
      <color theme="0"/>
      <name val="Calibri"/>
      <family val="2"/>
      <scheme val="minor"/>
    </font>
    <font>
      <b/>
      <sz val="12"/>
      <color theme="0"/>
      <name val="Calibri"/>
      <family val="2"/>
      <scheme val="minor"/>
    </font>
    <font>
      <b/>
      <sz val="14"/>
      <color theme="0"/>
      <name val="Calibri"/>
      <family val="2"/>
      <scheme val="minor"/>
    </font>
    <font>
      <b/>
      <sz val="11"/>
      <color theme="1"/>
      <name val="Calibri"/>
      <family val="2"/>
      <scheme val="minor"/>
    </font>
    <font>
      <b/>
      <sz val="14"/>
      <color theme="1"/>
      <name val="Calibri"/>
      <family val="2"/>
      <scheme val="minor"/>
    </font>
    <font>
      <b/>
      <sz val="20"/>
      <color theme="0"/>
      <name val="Calibri"/>
      <family val="2"/>
      <scheme val="minor"/>
    </font>
    <font>
      <b/>
      <sz val="20"/>
      <color rgb="FFFF0000"/>
      <name val="Calibri"/>
      <family val="2"/>
      <scheme val="minor"/>
    </font>
    <font>
      <b/>
      <sz val="14"/>
      <color rgb="FFFF0000"/>
      <name val="Calibri"/>
      <family val="2"/>
      <scheme val="minor"/>
    </font>
    <font>
      <sz val="16"/>
      <color theme="1"/>
      <name val="Calibri"/>
      <family val="2"/>
      <scheme val="minor"/>
    </font>
    <font>
      <sz val="14"/>
      <name val="Calibri"/>
      <family val="2"/>
      <scheme val="minor"/>
    </font>
    <font>
      <sz val="11"/>
      <name val="Calibri"/>
      <family val="2"/>
      <scheme val="minor"/>
    </font>
    <font>
      <b/>
      <sz val="14"/>
      <color theme="1"/>
      <name val="Calibri"/>
      <family val="2"/>
      <charset val="161"/>
      <scheme val="minor"/>
    </font>
    <font>
      <sz val="14"/>
      <name val="Calibri"/>
      <family val="2"/>
      <charset val="161"/>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4" tint="0.79998168889431442"/>
        <bgColor indexed="65"/>
      </patternFill>
    </fill>
    <fill>
      <patternFill patternType="solid">
        <fgColor theme="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6"/>
        <bgColor indexed="64"/>
      </patternFill>
    </fill>
    <fill>
      <patternFill patternType="solid">
        <fgColor theme="6" tint="-0.499984740745262"/>
        <bgColor indexed="64"/>
      </patternFill>
    </fill>
  </fills>
  <borders count="24">
    <border>
      <left/>
      <right/>
      <top/>
      <bottom/>
      <diagonal/>
    </border>
    <border>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theme="4" tint="-0.249977111117893"/>
      </left>
      <right/>
      <top style="thick">
        <color theme="4" tint="-0.249977111117893"/>
      </top>
      <bottom/>
      <diagonal/>
    </border>
    <border>
      <left/>
      <right/>
      <top style="thick">
        <color theme="4" tint="-0.249977111117893"/>
      </top>
      <bottom/>
      <diagonal/>
    </border>
    <border>
      <left/>
      <right style="thick">
        <color theme="4" tint="-0.249977111117893"/>
      </right>
      <top style="thick">
        <color theme="4" tint="-0.249977111117893"/>
      </top>
      <bottom/>
      <diagonal/>
    </border>
    <border>
      <left style="thick">
        <color theme="4" tint="-0.249977111117893"/>
      </left>
      <right/>
      <top/>
      <bottom/>
      <diagonal/>
    </border>
    <border>
      <left/>
      <right style="thick">
        <color theme="4" tint="-0.249977111117893"/>
      </right>
      <top/>
      <bottom/>
      <diagonal/>
    </border>
    <border>
      <left style="thick">
        <color theme="4" tint="-0.249977111117893"/>
      </left>
      <right/>
      <top/>
      <bottom style="thick">
        <color theme="4" tint="-0.249977111117893"/>
      </bottom>
      <diagonal/>
    </border>
    <border>
      <left/>
      <right/>
      <top/>
      <bottom style="thick">
        <color theme="4" tint="-0.249977111117893"/>
      </bottom>
      <diagonal/>
    </border>
    <border>
      <left/>
      <right style="thick">
        <color theme="4" tint="-0.249977111117893"/>
      </right>
      <top/>
      <bottom style="thick">
        <color theme="4" tint="-0.249977111117893"/>
      </bottom>
      <diagonal/>
    </border>
  </borders>
  <cellStyleXfs count="3">
    <xf numFmtId="0" fontId="0" fillId="0" borderId="0"/>
    <xf numFmtId="0" fontId="2" fillId="0" borderId="0"/>
    <xf numFmtId="0" fontId="5" fillId="6" borderId="0" applyNumberFormat="0" applyBorder="0" applyAlignment="0" applyProtection="0"/>
  </cellStyleXfs>
  <cellXfs count="215">
    <xf numFmtId="0" fontId="0" fillId="0" borderId="0" xfId="0"/>
    <xf numFmtId="165" fontId="3" fillId="2" borderId="0" xfId="1" applyNumberFormat="1" applyFont="1" applyFill="1" applyBorder="1"/>
    <xf numFmtId="165" fontId="3" fillId="3" borderId="0" xfId="1" applyNumberFormat="1" applyFont="1" applyFill="1" applyBorder="1"/>
    <xf numFmtId="164" fontId="3" fillId="2" borderId="2" xfId="1" applyNumberFormat="1" applyFont="1" applyFill="1" applyBorder="1"/>
    <xf numFmtId="164" fontId="3" fillId="2" borderId="3" xfId="1" applyNumberFormat="1" applyFont="1" applyFill="1" applyBorder="1"/>
    <xf numFmtId="164" fontId="3" fillId="3" borderId="2" xfId="1" applyNumberFormat="1" applyFont="1" applyFill="1" applyBorder="1"/>
    <xf numFmtId="164" fontId="3" fillId="3" borderId="3" xfId="1" applyNumberFormat="1" applyFont="1" applyFill="1" applyBorder="1"/>
    <xf numFmtId="0" fontId="1" fillId="5" borderId="4" xfId="0" applyFont="1" applyFill="1" applyBorder="1"/>
    <xf numFmtId="0" fontId="1" fillId="5" borderId="5" xfId="0" applyFont="1" applyFill="1" applyBorder="1"/>
    <xf numFmtId="0" fontId="1" fillId="5" borderId="6" xfId="0" applyFont="1" applyFill="1" applyBorder="1"/>
    <xf numFmtId="165" fontId="3" fillId="2" borderId="8" xfId="1" applyNumberFormat="1" applyFont="1" applyFill="1" applyBorder="1"/>
    <xf numFmtId="0" fontId="0" fillId="0" borderId="0" xfId="0"/>
    <xf numFmtId="164" fontId="3" fillId="5" borderId="4" xfId="1" applyNumberFormat="1" applyFont="1" applyFill="1" applyBorder="1"/>
    <xf numFmtId="165" fontId="3" fillId="5" borderId="5" xfId="1" applyNumberFormat="1" applyFont="1" applyFill="1" applyBorder="1"/>
    <xf numFmtId="164" fontId="3" fillId="5" borderId="6" xfId="1" applyNumberFormat="1" applyFont="1" applyFill="1" applyBorder="1"/>
    <xf numFmtId="0" fontId="1" fillId="0" borderId="0" xfId="0" applyFont="1" applyBorder="1"/>
    <xf numFmtId="0" fontId="0" fillId="0" borderId="0" xfId="0"/>
    <xf numFmtId="4" fontId="1" fillId="0" borderId="0" xfId="0" applyNumberFormat="1" applyFont="1" applyBorder="1"/>
    <xf numFmtId="9" fontId="1" fillId="0" borderId="1" xfId="0" applyNumberFormat="1" applyFont="1" applyBorder="1"/>
    <xf numFmtId="0" fontId="4" fillId="0" borderId="0" xfId="0" applyFont="1"/>
    <xf numFmtId="0" fontId="1" fillId="0" borderId="0" xfId="0" applyFont="1" applyFill="1" applyBorder="1"/>
    <xf numFmtId="0" fontId="6" fillId="0" borderId="0" xfId="0" applyFont="1" applyFill="1"/>
    <xf numFmtId="0" fontId="0" fillId="0" borderId="0" xfId="0" applyFill="1"/>
    <xf numFmtId="0" fontId="0" fillId="0" borderId="0" xfId="0" applyAlignment="1"/>
    <xf numFmtId="0" fontId="1" fillId="0" borderId="0" xfId="0" applyFont="1"/>
    <xf numFmtId="0" fontId="1" fillId="6" borderId="10" xfId="2" applyFont="1" applyBorder="1"/>
    <xf numFmtId="0" fontId="1" fillId="0" borderId="10" xfId="0" applyFont="1" applyBorder="1"/>
    <xf numFmtId="0" fontId="1" fillId="0" borderId="10" xfId="0" applyFont="1" applyBorder="1" applyAlignment="1">
      <alignment wrapText="1"/>
    </xf>
    <xf numFmtId="0" fontId="1" fillId="6" borderId="10" xfId="2" applyFont="1" applyBorder="1" applyAlignment="1">
      <alignment wrapText="1"/>
    </xf>
    <xf numFmtId="4" fontId="3" fillId="3" borderId="0" xfId="1" applyNumberFormat="1" applyFont="1" applyFill="1" applyBorder="1"/>
    <xf numFmtId="0" fontId="1" fillId="6" borderId="0" xfId="2" applyFont="1" applyBorder="1"/>
    <xf numFmtId="0" fontId="1" fillId="0" borderId="2" xfId="0" applyFont="1" applyBorder="1"/>
    <xf numFmtId="0" fontId="1" fillId="0" borderId="3" xfId="0" applyFont="1" applyBorder="1"/>
    <xf numFmtId="0" fontId="1" fillId="0" borderId="11" xfId="0" applyFont="1" applyBorder="1"/>
    <xf numFmtId="0" fontId="1" fillId="0" borderId="12" xfId="0" applyFont="1" applyBorder="1"/>
    <xf numFmtId="0" fontId="1" fillId="6" borderId="2" xfId="2" applyFont="1" applyBorder="1"/>
    <xf numFmtId="0" fontId="1" fillId="6" borderId="3" xfId="2" applyFont="1" applyBorder="1"/>
    <xf numFmtId="0" fontId="1" fillId="0" borderId="2" xfId="0" applyFont="1" applyFill="1" applyBorder="1"/>
    <xf numFmtId="0" fontId="1" fillId="0" borderId="3" xfId="0" applyFont="1" applyFill="1" applyBorder="1"/>
    <xf numFmtId="164" fontId="3" fillId="2" borderId="7" xfId="1" applyNumberFormat="1" applyFont="1" applyFill="1" applyBorder="1"/>
    <xf numFmtId="164" fontId="3" fillId="2" borderId="9" xfId="1" applyNumberFormat="1" applyFont="1" applyFill="1" applyBorder="1"/>
    <xf numFmtId="0" fontId="0" fillId="0" borderId="3" xfId="0" applyBorder="1"/>
    <xf numFmtId="0" fontId="0" fillId="2" borderId="0" xfId="0" applyFill="1" applyBorder="1" applyAlignment="1">
      <alignment wrapText="1"/>
    </xf>
    <xf numFmtId="0" fontId="0" fillId="0" borderId="0" xfId="0" applyBorder="1" applyAlignment="1">
      <alignment wrapText="1"/>
    </xf>
    <xf numFmtId="0" fontId="7" fillId="7" borderId="4" xfId="0" applyFont="1" applyFill="1" applyBorder="1"/>
    <xf numFmtId="0" fontId="8" fillId="7" borderId="5" xfId="0" applyFont="1" applyFill="1" applyBorder="1" applyAlignment="1">
      <alignment horizontal="right" wrapText="1"/>
    </xf>
    <xf numFmtId="0" fontId="0" fillId="0" borderId="2" xfId="0" applyBorder="1" applyAlignment="1"/>
    <xf numFmtId="0" fontId="0" fillId="2" borderId="2" xfId="0" applyFill="1" applyBorder="1" applyAlignment="1"/>
    <xf numFmtId="164" fontId="0" fillId="0" borderId="0" xfId="0" applyNumberFormat="1" applyFill="1" applyBorder="1" applyAlignment="1"/>
    <xf numFmtId="164" fontId="8" fillId="7" borderId="5" xfId="0" applyNumberFormat="1" applyFont="1" applyFill="1" applyBorder="1"/>
    <xf numFmtId="164" fontId="0" fillId="0" borderId="0" xfId="0" applyNumberFormat="1" applyBorder="1" applyAlignment="1"/>
    <xf numFmtId="164" fontId="0" fillId="2" borderId="0" xfId="0" applyNumberFormat="1" applyFill="1" applyBorder="1" applyAlignment="1"/>
    <xf numFmtId="165" fontId="0" fillId="0" borderId="2" xfId="0" applyNumberFormat="1" applyBorder="1"/>
    <xf numFmtId="165" fontId="0" fillId="0" borderId="0" xfId="0" applyNumberFormat="1" applyBorder="1"/>
    <xf numFmtId="165" fontId="0" fillId="0" borderId="3" xfId="0" applyNumberFormat="1" applyBorder="1"/>
    <xf numFmtId="165" fontId="0" fillId="2" borderId="2" xfId="0" applyNumberFormat="1" applyFill="1" applyBorder="1"/>
    <xf numFmtId="165" fontId="0" fillId="2" borderId="0" xfId="0" applyNumberFormat="1" applyFill="1" applyBorder="1"/>
    <xf numFmtId="165" fontId="0" fillId="2" borderId="3" xfId="0" applyNumberFormat="1" applyFill="1" applyBorder="1"/>
    <xf numFmtId="165" fontId="5" fillId="6" borderId="0" xfId="2" applyNumberFormat="1" applyBorder="1"/>
    <xf numFmtId="165" fontId="7" fillId="7" borderId="4" xfId="0" applyNumberFormat="1" applyFont="1" applyFill="1" applyBorder="1"/>
    <xf numFmtId="165" fontId="8" fillId="7" borderId="5" xfId="0" applyNumberFormat="1" applyFont="1" applyFill="1" applyBorder="1" applyAlignment="1">
      <alignment horizontal="right" wrapText="1"/>
    </xf>
    <xf numFmtId="165" fontId="8" fillId="7" borderId="5" xfId="0" applyNumberFormat="1" applyFont="1" applyFill="1" applyBorder="1"/>
    <xf numFmtId="165" fontId="8" fillId="7" borderId="6" xfId="0" applyNumberFormat="1" applyFont="1" applyFill="1" applyBorder="1"/>
    <xf numFmtId="4" fontId="3" fillId="2" borderId="0" xfId="1" applyNumberFormat="1" applyFont="1" applyFill="1" applyBorder="1"/>
    <xf numFmtId="3" fontId="3" fillId="2" borderId="0" xfId="1" applyNumberFormat="1" applyFont="1" applyFill="1" applyBorder="1"/>
    <xf numFmtId="3" fontId="3" fillId="3" borderId="0" xfId="1" applyNumberFormat="1" applyFont="1" applyFill="1" applyBorder="1"/>
    <xf numFmtId="0" fontId="0" fillId="9" borderId="14" xfId="0" applyFill="1" applyBorder="1" applyAlignment="1">
      <alignment horizontal="left" vertical="top" wrapText="1"/>
    </xf>
    <xf numFmtId="0" fontId="0" fillId="9" borderId="15" xfId="0" applyFill="1" applyBorder="1"/>
    <xf numFmtId="0" fontId="0" fillId="0" borderId="2" xfId="0" applyBorder="1" applyAlignment="1">
      <alignment wrapText="1"/>
    </xf>
    <xf numFmtId="0" fontId="0" fillId="9" borderId="0" xfId="0" applyFill="1" applyBorder="1" applyAlignment="1">
      <alignment horizontal="left" vertical="top" wrapText="1"/>
    </xf>
    <xf numFmtId="0" fontId="6" fillId="9" borderId="3" xfId="0" applyFont="1" applyFill="1" applyBorder="1"/>
    <xf numFmtId="0" fontId="0" fillId="0" borderId="13" xfId="0" applyFill="1" applyBorder="1" applyAlignment="1">
      <alignment wrapText="1"/>
    </xf>
    <xf numFmtId="0" fontId="0" fillId="0" borderId="14" xfId="0" applyFill="1" applyBorder="1"/>
    <xf numFmtId="0" fontId="0" fillId="0" borderId="15" xfId="0" applyFill="1" applyBorder="1"/>
    <xf numFmtId="0" fontId="0" fillId="0" borderId="2" xfId="0" applyFill="1" applyBorder="1" applyAlignment="1">
      <alignment wrapText="1"/>
    </xf>
    <xf numFmtId="0" fontId="0" fillId="0" borderId="0" xfId="0" applyFill="1" applyBorder="1"/>
    <xf numFmtId="0" fontId="0" fillId="0" borderId="3" xfId="0" applyFill="1" applyBorder="1"/>
    <xf numFmtId="0" fontId="0" fillId="0" borderId="2" xfId="0" applyFill="1" applyBorder="1"/>
    <xf numFmtId="0" fontId="0" fillId="0" borderId="7" xfId="0" applyFill="1" applyBorder="1" applyAlignment="1">
      <alignment wrapText="1"/>
    </xf>
    <xf numFmtId="0" fontId="0" fillId="0" borderId="8" xfId="0" applyFill="1" applyBorder="1"/>
    <xf numFmtId="0" fontId="0" fillId="0" borderId="9" xfId="0" applyFill="1" applyBorder="1"/>
    <xf numFmtId="0" fontId="0" fillId="11" borderId="2" xfId="0" applyFill="1" applyBorder="1" applyAlignment="1">
      <alignment wrapText="1"/>
    </xf>
    <xf numFmtId="0" fontId="0" fillId="11" borderId="0" xfId="0" applyFill="1" applyBorder="1"/>
    <xf numFmtId="0" fontId="0" fillId="11" borderId="3" xfId="0" applyFill="1" applyBorder="1"/>
    <xf numFmtId="0" fontId="10" fillId="9" borderId="13" xfId="0" applyFont="1" applyFill="1" applyBorder="1" applyAlignment="1">
      <alignment horizontal="left" vertical="top" wrapText="1"/>
    </xf>
    <xf numFmtId="0" fontId="10" fillId="9" borderId="2" xfId="0" applyFont="1" applyFill="1" applyBorder="1" applyAlignment="1">
      <alignment horizontal="left" vertical="top" wrapText="1"/>
    </xf>
    <xf numFmtId="3" fontId="8" fillId="13" borderId="5" xfId="0" applyNumberFormat="1" applyFont="1" applyFill="1" applyBorder="1"/>
    <xf numFmtId="0" fontId="8" fillId="13" borderId="6" xfId="0" applyFont="1" applyFill="1" applyBorder="1"/>
    <xf numFmtId="165" fontId="7" fillId="7" borderId="13" xfId="0" applyNumberFormat="1" applyFont="1" applyFill="1" applyBorder="1"/>
    <xf numFmtId="165" fontId="8" fillId="7" borderId="14" xfId="0" applyNumberFormat="1" applyFont="1" applyFill="1" applyBorder="1" applyAlignment="1">
      <alignment horizontal="right" wrapText="1"/>
    </xf>
    <xf numFmtId="165" fontId="8" fillId="7" borderId="14" xfId="0" applyNumberFormat="1" applyFont="1" applyFill="1" applyBorder="1"/>
    <xf numFmtId="165" fontId="8" fillId="7" borderId="15" xfId="0" applyNumberFormat="1" applyFont="1" applyFill="1" applyBorder="1"/>
    <xf numFmtId="1" fontId="1" fillId="6" borderId="0" xfId="2" applyNumberFormat="1" applyFont="1" applyBorder="1"/>
    <xf numFmtId="0" fontId="1" fillId="0" borderId="2" xfId="2" applyFont="1" applyFill="1" applyBorder="1"/>
    <xf numFmtId="1" fontId="1" fillId="0" borderId="0" xfId="2" applyNumberFormat="1" applyFont="1" applyFill="1" applyBorder="1"/>
    <xf numFmtId="0" fontId="1" fillId="0" borderId="3" xfId="2" applyFont="1" applyFill="1" applyBorder="1"/>
    <xf numFmtId="4" fontId="3" fillId="0" borderId="0" xfId="1" applyNumberFormat="1" applyFont="1" applyFill="1" applyBorder="1"/>
    <xf numFmtId="165" fontId="7" fillId="0" borderId="4" xfId="0" applyNumberFormat="1" applyFont="1" applyFill="1" applyBorder="1"/>
    <xf numFmtId="165" fontId="8" fillId="0" borderId="5" xfId="0" applyNumberFormat="1" applyFont="1" applyFill="1" applyBorder="1" applyAlignment="1">
      <alignment horizontal="right" wrapText="1"/>
    </xf>
    <xf numFmtId="165" fontId="8" fillId="0" borderId="5" xfId="0" applyNumberFormat="1" applyFont="1" applyFill="1" applyBorder="1"/>
    <xf numFmtId="165" fontId="8" fillId="0" borderId="6" xfId="0" applyNumberFormat="1" applyFont="1" applyFill="1" applyBorder="1"/>
    <xf numFmtId="0" fontId="1" fillId="2" borderId="2" xfId="0" applyFont="1" applyFill="1" applyBorder="1"/>
    <xf numFmtId="0" fontId="1" fillId="2" borderId="3" xfId="0" applyFont="1" applyFill="1" applyBorder="1"/>
    <xf numFmtId="0" fontId="10" fillId="12" borderId="4" xfId="0" applyFont="1" applyFill="1" applyBorder="1" applyAlignment="1"/>
    <xf numFmtId="0" fontId="10" fillId="12" borderId="5" xfId="0" applyFont="1" applyFill="1" applyBorder="1" applyAlignment="1"/>
    <xf numFmtId="0" fontId="10" fillId="12" borderId="6" xfId="0" applyFont="1" applyFill="1" applyBorder="1" applyAlignment="1"/>
    <xf numFmtId="0" fontId="8" fillId="13" borderId="4" xfId="0" applyFont="1" applyFill="1" applyBorder="1" applyAlignment="1">
      <alignment horizontal="center" wrapText="1"/>
    </xf>
    <xf numFmtId="2" fontId="0" fillId="11" borderId="0" xfId="0" applyNumberFormat="1" applyFill="1" applyBorder="1"/>
    <xf numFmtId="0" fontId="1" fillId="0" borderId="0" xfId="0" applyFont="1" applyFill="1"/>
    <xf numFmtId="0" fontId="9" fillId="0" borderId="0" xfId="0" applyFont="1" applyFill="1" applyAlignment="1">
      <alignment vertical="center" wrapText="1"/>
    </xf>
    <xf numFmtId="0" fontId="10" fillId="0" borderId="3" xfId="0" applyFont="1" applyBorder="1"/>
    <xf numFmtId="0" fontId="10" fillId="0" borderId="2" xfId="0" applyFont="1" applyBorder="1" applyAlignment="1">
      <alignment horizontal="right" wrapText="1"/>
    </xf>
    <xf numFmtId="0" fontId="8" fillId="10" borderId="7" xfId="0" applyFont="1" applyFill="1" applyBorder="1" applyAlignment="1">
      <alignment wrapText="1"/>
    </xf>
    <xf numFmtId="2" fontId="8" fillId="10" borderId="8" xfId="0" applyNumberFormat="1" applyFont="1" applyFill="1" applyBorder="1"/>
    <xf numFmtId="0" fontId="8" fillId="10" borderId="9" xfId="0" applyFont="1" applyFill="1" applyBorder="1"/>
    <xf numFmtId="0" fontId="1" fillId="2" borderId="2" xfId="2" applyFont="1" applyFill="1" applyBorder="1"/>
    <xf numFmtId="1" fontId="1" fillId="2" borderId="0" xfId="2" applyNumberFormat="1" applyFont="1" applyFill="1" applyBorder="1"/>
    <xf numFmtId="0" fontId="1" fillId="2" borderId="3" xfId="2" applyFont="1" applyFill="1" applyBorder="1"/>
    <xf numFmtId="0" fontId="1" fillId="2" borderId="0" xfId="0" applyFont="1" applyFill="1" applyBorder="1"/>
    <xf numFmtId="0" fontId="1" fillId="3" borderId="2" xfId="2" applyFont="1" applyFill="1" applyBorder="1"/>
    <xf numFmtId="0" fontId="1" fillId="3" borderId="0" xfId="2" applyFont="1" applyFill="1" applyBorder="1"/>
    <xf numFmtId="0" fontId="1" fillId="3" borderId="3" xfId="2" applyFont="1" applyFill="1" applyBorder="1"/>
    <xf numFmtId="2" fontId="0" fillId="0" borderId="0" xfId="0" applyNumberFormat="1" applyBorder="1"/>
    <xf numFmtId="0" fontId="0" fillId="0" borderId="0" xfId="0" applyBorder="1"/>
    <xf numFmtId="0" fontId="15" fillId="0" borderId="16" xfId="0" applyFont="1" applyBorder="1"/>
    <xf numFmtId="0" fontId="0" fillId="0" borderId="17" xfId="0" applyBorder="1"/>
    <xf numFmtId="0" fontId="0" fillId="0" borderId="18" xfId="0" applyBorder="1"/>
    <xf numFmtId="0" fontId="15" fillId="0" borderId="19" xfId="0" applyFont="1" applyBorder="1"/>
    <xf numFmtId="0" fontId="0" fillId="0" borderId="20" xfId="0" applyBorder="1"/>
    <xf numFmtId="0" fontId="0" fillId="0" borderId="19" xfId="0" applyBorder="1"/>
    <xf numFmtId="2" fontId="0" fillId="0" borderId="0" xfId="0" applyNumberFormat="1" applyFill="1" applyBorder="1"/>
    <xf numFmtId="166" fontId="8" fillId="10" borderId="8" xfId="0" applyNumberFormat="1" applyFont="1" applyFill="1" applyBorder="1"/>
    <xf numFmtId="166" fontId="0" fillId="11" borderId="0" xfId="0" applyNumberFormat="1" applyFill="1" applyBorder="1"/>
    <xf numFmtId="2" fontId="10" fillId="0" borderId="0" xfId="0" applyNumberFormat="1" applyFont="1" applyFill="1" applyBorder="1"/>
    <xf numFmtId="0" fontId="0" fillId="0" borderId="0" xfId="0"/>
    <xf numFmtId="0" fontId="6" fillId="0" borderId="0" xfId="0" applyFont="1"/>
    <xf numFmtId="0" fontId="16" fillId="6" borderId="2" xfId="2" applyFont="1" applyBorder="1"/>
    <xf numFmtId="0" fontId="17" fillId="0" borderId="2" xfId="0" applyFont="1" applyBorder="1" applyAlignment="1">
      <alignment wrapText="1"/>
    </xf>
    <xf numFmtId="0" fontId="17" fillId="0" borderId="0" xfId="0" applyFont="1" applyFill="1"/>
    <xf numFmtId="1" fontId="1" fillId="2" borderId="0" xfId="0" applyNumberFormat="1" applyFont="1" applyFill="1" applyBorder="1"/>
    <xf numFmtId="166" fontId="1" fillId="0" borderId="0" xfId="0" applyNumberFormat="1" applyFont="1" applyFill="1" applyBorder="1"/>
    <xf numFmtId="0" fontId="0" fillId="0" borderId="0" xfId="0"/>
    <xf numFmtId="0" fontId="18" fillId="0" borderId="2" xfId="0" applyFont="1" applyFill="1" applyBorder="1"/>
    <xf numFmtId="1" fontId="18" fillId="0" borderId="0" xfId="0" applyNumberFormat="1" applyFont="1" applyFill="1" applyBorder="1"/>
    <xf numFmtId="0" fontId="18" fillId="0" borderId="3" xfId="0" applyFont="1" applyFill="1" applyBorder="1"/>
    <xf numFmtId="0" fontId="0" fillId="0" borderId="0" xfId="0"/>
    <xf numFmtId="1" fontId="11" fillId="2" borderId="0" xfId="0" applyNumberFormat="1" applyFont="1" applyFill="1" applyBorder="1"/>
    <xf numFmtId="0" fontId="11" fillId="2" borderId="3" xfId="0" applyFont="1" applyFill="1" applyBorder="1"/>
    <xf numFmtId="0" fontId="0" fillId="0" borderId="0" xfId="0"/>
    <xf numFmtId="0" fontId="0" fillId="0" borderId="0" xfId="0"/>
    <xf numFmtId="1" fontId="0" fillId="0" borderId="0" xfId="0" applyNumberFormat="1" applyFill="1" applyBorder="1"/>
    <xf numFmtId="1" fontId="8" fillId="13" borderId="5" xfId="0" applyNumberFormat="1" applyFont="1" applyFill="1" applyBorder="1"/>
    <xf numFmtId="1" fontId="1" fillId="0" borderId="0" xfId="0" applyNumberFormat="1" applyFont="1" applyFill="1" applyBorder="1"/>
    <xf numFmtId="0" fontId="0" fillId="0" borderId="0" xfId="0" applyFill="1" applyAlignment="1">
      <alignment wrapText="1"/>
    </xf>
    <xf numFmtId="0" fontId="0" fillId="0" borderId="0" xfId="0"/>
    <xf numFmtId="166" fontId="0" fillId="0" borderId="0" xfId="0" applyNumberFormat="1" applyFill="1" applyBorder="1"/>
    <xf numFmtId="0" fontId="0" fillId="11" borderId="7" xfId="0" applyFill="1" applyBorder="1"/>
    <xf numFmtId="166" fontId="0" fillId="11" borderId="8" xfId="0" applyNumberFormat="1" applyFill="1" applyBorder="1"/>
    <xf numFmtId="0" fontId="0" fillId="11" borderId="9" xfId="0" applyFill="1" applyBorder="1"/>
    <xf numFmtId="0" fontId="18" fillId="2" borderId="2" xfId="0" applyFont="1" applyFill="1" applyBorder="1"/>
    <xf numFmtId="1" fontId="18" fillId="2" borderId="0" xfId="0" applyNumberFormat="1" applyFont="1" applyFill="1" applyBorder="1"/>
    <xf numFmtId="0" fontId="18" fillId="2" borderId="3" xfId="0" applyFont="1" applyFill="1" applyBorder="1"/>
    <xf numFmtId="166" fontId="1" fillId="2" borderId="0" xfId="0" applyNumberFormat="1" applyFont="1" applyFill="1" applyBorder="1"/>
    <xf numFmtId="167" fontId="1" fillId="2" borderId="0" xfId="0" applyNumberFormat="1" applyFont="1" applyFill="1" applyBorder="1"/>
    <xf numFmtId="0" fontId="1" fillId="3" borderId="2" xfId="0" applyFont="1" applyFill="1" applyBorder="1"/>
    <xf numFmtId="1" fontId="1" fillId="3" borderId="0" xfId="0" applyNumberFormat="1" applyFont="1" applyFill="1" applyBorder="1"/>
    <xf numFmtId="0" fontId="1" fillId="3" borderId="3" xfId="0" applyFont="1" applyFill="1" applyBorder="1"/>
    <xf numFmtId="0" fontId="11" fillId="2" borderId="2" xfId="0" applyFont="1" applyFill="1" applyBorder="1"/>
    <xf numFmtId="166" fontId="1" fillId="3" borderId="0" xfId="0" applyNumberFormat="1" applyFont="1" applyFill="1" applyBorder="1"/>
    <xf numFmtId="2" fontId="0" fillId="11" borderId="8" xfId="0" applyNumberFormat="1" applyFill="1" applyBorder="1"/>
    <xf numFmtId="165" fontId="0" fillId="6" borderId="0" xfId="2" applyNumberFormat="1" applyFont="1" applyBorder="1"/>
    <xf numFmtId="165" fontId="11" fillId="0" borderId="4" xfId="0" applyNumberFormat="1" applyFont="1" applyFill="1" applyBorder="1" applyAlignment="1">
      <alignment horizontal="left"/>
    </xf>
    <xf numFmtId="165" fontId="11" fillId="0" borderId="5" xfId="0" applyNumberFormat="1" applyFont="1" applyFill="1" applyBorder="1" applyAlignment="1">
      <alignment horizontal="left"/>
    </xf>
    <xf numFmtId="165" fontId="11" fillId="0" borderId="6" xfId="0" applyNumberFormat="1" applyFont="1" applyFill="1" applyBorder="1" applyAlignment="1">
      <alignment horizontal="left"/>
    </xf>
    <xf numFmtId="4" fontId="0" fillId="0" borderId="0" xfId="0" applyNumberFormat="1"/>
    <xf numFmtId="0" fontId="0" fillId="0" borderId="0" xfId="0"/>
    <xf numFmtId="0" fontId="10" fillId="5" borderId="4" xfId="0" applyFont="1" applyFill="1" applyBorder="1" applyAlignment="1"/>
    <xf numFmtId="0" fontId="10" fillId="5" borderId="5" xfId="0" applyFont="1" applyFill="1" applyBorder="1" applyAlignment="1"/>
    <xf numFmtId="0" fontId="0" fillId="0" borderId="13" xfId="0" applyFill="1" applyBorder="1"/>
    <xf numFmtId="0" fontId="0" fillId="11" borderId="2" xfId="0" applyFill="1" applyBorder="1"/>
    <xf numFmtId="0" fontId="0" fillId="0" borderId="7" xfId="0" applyFill="1" applyBorder="1"/>
    <xf numFmtId="164" fontId="0" fillId="0" borderId="3" xfId="0" applyNumberFormat="1" applyBorder="1" applyAlignment="1"/>
    <xf numFmtId="164" fontId="0" fillId="2" borderId="3" xfId="0" applyNumberFormat="1" applyFill="1" applyBorder="1" applyAlignment="1"/>
    <xf numFmtId="164" fontId="0" fillId="0" borderId="3" xfId="0" applyNumberFormat="1" applyFill="1" applyBorder="1" applyAlignment="1"/>
    <xf numFmtId="164" fontId="8" fillId="7" borderId="6" xfId="0" applyNumberFormat="1" applyFont="1" applyFill="1" applyBorder="1"/>
    <xf numFmtId="0" fontId="10" fillId="5" borderId="6" xfId="0" applyFont="1" applyFill="1" applyBorder="1" applyAlignment="1">
      <alignment horizontal="center"/>
    </xf>
    <xf numFmtId="0" fontId="0" fillId="0" borderId="19" xfId="0" applyBorder="1" applyAlignment="1">
      <alignment horizontal="justify" wrapText="1"/>
    </xf>
    <xf numFmtId="0" fontId="0" fillId="0" borderId="0" xfId="0"/>
    <xf numFmtId="0" fontId="0" fillId="0" borderId="20" xfId="0" applyBorder="1"/>
    <xf numFmtId="0" fontId="0" fillId="0" borderId="19" xfId="0" applyBorder="1"/>
    <xf numFmtId="0" fontId="0" fillId="0" borderId="21" xfId="0" applyBorder="1"/>
    <xf numFmtId="0" fontId="0" fillId="0" borderId="22" xfId="0" applyBorder="1"/>
    <xf numFmtId="0" fontId="0" fillId="0" borderId="23" xfId="0" applyBorder="1"/>
    <xf numFmtId="0" fontId="9" fillId="7" borderId="0" xfId="0" applyFont="1" applyFill="1" applyAlignment="1">
      <alignment horizontal="center" wrapText="1"/>
    </xf>
    <xf numFmtId="0" fontId="9" fillId="7" borderId="0" xfId="0" applyFont="1" applyFill="1" applyAlignment="1">
      <alignment horizontal="center" vertical="center" wrapText="1"/>
    </xf>
    <xf numFmtId="165" fontId="11" fillId="5" borderId="4" xfId="0" applyNumberFormat="1" applyFont="1" applyFill="1" applyBorder="1" applyAlignment="1">
      <alignment horizontal="left"/>
    </xf>
    <xf numFmtId="165" fontId="11" fillId="5" borderId="5" xfId="0" applyNumberFormat="1" applyFont="1" applyFill="1" applyBorder="1" applyAlignment="1">
      <alignment horizontal="left"/>
    </xf>
    <xf numFmtId="165" fontId="11" fillId="5" borderId="6" xfId="0" applyNumberFormat="1" applyFont="1" applyFill="1" applyBorder="1" applyAlignment="1">
      <alignment horizontal="left"/>
    </xf>
    <xf numFmtId="165" fontId="11" fillId="5" borderId="4" xfId="0" applyNumberFormat="1" applyFont="1" applyFill="1" applyBorder="1" applyAlignment="1">
      <alignment horizontal="left" wrapText="1"/>
    </xf>
    <xf numFmtId="165" fontId="11" fillId="5" borderId="5" xfId="0" applyNumberFormat="1" applyFont="1" applyFill="1" applyBorder="1" applyAlignment="1">
      <alignment horizontal="left" wrapText="1"/>
    </xf>
    <xf numFmtId="165" fontId="11" fillId="5" borderId="6" xfId="0" applyNumberFormat="1" applyFont="1" applyFill="1" applyBorder="1" applyAlignment="1">
      <alignment horizontal="left" wrapText="1"/>
    </xf>
    <xf numFmtId="0" fontId="9" fillId="10" borderId="2" xfId="0" applyFont="1" applyFill="1" applyBorder="1" applyAlignment="1">
      <alignment horizontal="center" vertical="center" wrapText="1"/>
    </xf>
    <xf numFmtId="0" fontId="9" fillId="10" borderId="0"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0" fillId="4" borderId="4" xfId="0" applyFill="1" applyBorder="1" applyAlignment="1">
      <alignment horizontal="left" wrapText="1"/>
    </xf>
    <xf numFmtId="0" fontId="0" fillId="4" borderId="5" xfId="0" applyFill="1" applyBorder="1" applyAlignment="1">
      <alignment horizontal="left" wrapText="1"/>
    </xf>
    <xf numFmtId="0" fontId="0" fillId="4" borderId="6" xfId="0" applyFill="1" applyBorder="1" applyAlignment="1">
      <alignment horizontal="left" wrapText="1"/>
    </xf>
    <xf numFmtId="165" fontId="10" fillId="5" borderId="4" xfId="0" applyNumberFormat="1" applyFont="1" applyFill="1" applyBorder="1" applyAlignment="1">
      <alignment horizontal="left"/>
    </xf>
    <xf numFmtId="165" fontId="10" fillId="5" borderId="5" xfId="0" applyNumberFormat="1" applyFont="1" applyFill="1" applyBorder="1" applyAlignment="1">
      <alignment horizontal="left"/>
    </xf>
    <xf numFmtId="165" fontId="10" fillId="5" borderId="6" xfId="0" applyNumberFormat="1" applyFont="1" applyFill="1" applyBorder="1" applyAlignment="1">
      <alignment horizontal="left"/>
    </xf>
    <xf numFmtId="0" fontId="0" fillId="8" borderId="4" xfId="0" applyFill="1" applyBorder="1" applyAlignment="1">
      <alignment horizontal="left" wrapText="1"/>
    </xf>
    <xf numFmtId="0" fontId="0" fillId="8" borderId="5" xfId="0" applyFill="1" applyBorder="1" applyAlignment="1">
      <alignment horizontal="left" wrapText="1"/>
    </xf>
    <xf numFmtId="0" fontId="0" fillId="8" borderId="6" xfId="0" applyFill="1" applyBorder="1" applyAlignment="1">
      <alignment horizontal="left" wrapText="1"/>
    </xf>
    <xf numFmtId="0" fontId="0" fillId="9" borderId="4" xfId="0" applyFill="1" applyBorder="1" applyAlignment="1">
      <alignment horizontal="center" vertical="top" wrapText="1"/>
    </xf>
    <xf numFmtId="0" fontId="0" fillId="9" borderId="6" xfId="0" applyFill="1" applyBorder="1" applyAlignment="1">
      <alignment horizontal="center" vertical="top" wrapText="1"/>
    </xf>
  </cellXfs>
  <cellStyles count="3">
    <cellStyle name="20% - Accent1" xfId="2" builtinId="30"/>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S18"/>
  <sheetViews>
    <sheetView workbookViewId="0">
      <selection activeCell="F14" sqref="F14:G14"/>
    </sheetView>
  </sheetViews>
  <sheetFormatPr defaultRowHeight="14.5"/>
  <cols>
    <col min="1" max="1" width="2.54296875" style="16" customWidth="1"/>
  </cols>
  <sheetData>
    <row r="1" spans="2:19" ht="15" thickBot="1"/>
    <row r="2" spans="2:19" ht="21.5" thickTop="1">
      <c r="B2" s="124" t="s">
        <v>159</v>
      </c>
      <c r="C2" s="125"/>
      <c r="D2" s="125"/>
      <c r="E2" s="125"/>
      <c r="F2" s="125"/>
      <c r="G2" s="125"/>
      <c r="H2" s="125"/>
      <c r="I2" s="125"/>
      <c r="J2" s="126"/>
    </row>
    <row r="3" spans="2:19" ht="21">
      <c r="B3" s="127" t="s">
        <v>160</v>
      </c>
      <c r="C3" s="123"/>
      <c r="D3" s="123"/>
      <c r="E3" s="123"/>
      <c r="F3" s="123"/>
      <c r="G3" s="123"/>
      <c r="H3" s="123"/>
      <c r="I3" s="123"/>
      <c r="J3" s="128"/>
    </row>
    <row r="4" spans="2:19" ht="15" customHeight="1">
      <c r="B4" s="129"/>
      <c r="C4" s="123"/>
      <c r="D4" s="123"/>
      <c r="E4" s="123"/>
      <c r="F4" s="123"/>
      <c r="G4" s="123"/>
      <c r="H4" s="123"/>
      <c r="I4" s="123"/>
      <c r="J4" s="128"/>
    </row>
    <row r="5" spans="2:19" ht="15" customHeight="1">
      <c r="B5" s="186" t="s">
        <v>203</v>
      </c>
      <c r="C5" s="187"/>
      <c r="D5" s="187"/>
      <c r="E5" s="187"/>
      <c r="F5" s="187"/>
      <c r="G5" s="187"/>
      <c r="H5" s="187"/>
      <c r="I5" s="187"/>
      <c r="J5" s="188"/>
    </row>
    <row r="6" spans="2:19">
      <c r="B6" s="189"/>
      <c r="C6" s="187"/>
      <c r="D6" s="187"/>
      <c r="E6" s="187"/>
      <c r="F6" s="187"/>
      <c r="G6" s="187"/>
      <c r="H6" s="187"/>
      <c r="I6" s="187"/>
      <c r="J6" s="188"/>
    </row>
    <row r="7" spans="2:19">
      <c r="B7" s="189"/>
      <c r="C7" s="187"/>
      <c r="D7" s="187"/>
      <c r="E7" s="187"/>
      <c r="F7" s="187"/>
      <c r="G7" s="187"/>
      <c r="H7" s="187"/>
      <c r="I7" s="187"/>
      <c r="J7" s="188"/>
    </row>
    <row r="8" spans="2:19">
      <c r="B8" s="189"/>
      <c r="C8" s="187"/>
      <c r="D8" s="187"/>
      <c r="E8" s="187"/>
      <c r="F8" s="187"/>
      <c r="G8" s="187"/>
      <c r="H8" s="187"/>
      <c r="I8" s="187"/>
      <c r="J8" s="188"/>
    </row>
    <row r="9" spans="2:19" ht="15" thickBot="1">
      <c r="B9" s="190"/>
      <c r="C9" s="191"/>
      <c r="D9" s="191"/>
      <c r="E9" s="191"/>
      <c r="F9" s="191"/>
      <c r="G9" s="191"/>
      <c r="H9" s="191"/>
      <c r="I9" s="191"/>
      <c r="J9" s="192"/>
    </row>
    <row r="10" spans="2:19" ht="15" thickTop="1"/>
    <row r="14" spans="2:19">
      <c r="G14" s="123"/>
      <c r="H14" s="123"/>
      <c r="I14" s="123"/>
      <c r="J14" s="123"/>
      <c r="K14" s="123"/>
      <c r="L14" s="123"/>
      <c r="M14" s="123"/>
      <c r="N14" s="123"/>
      <c r="O14" s="123"/>
      <c r="P14" s="123"/>
      <c r="Q14" s="123"/>
      <c r="R14" s="123"/>
      <c r="S14" s="123"/>
    </row>
    <row r="15" spans="2:19">
      <c r="G15" s="123"/>
      <c r="H15" s="123"/>
      <c r="I15" s="123"/>
      <c r="J15" s="123"/>
      <c r="K15" s="123"/>
      <c r="L15" s="123"/>
      <c r="M15" s="123"/>
      <c r="N15" s="123"/>
      <c r="O15" s="123"/>
      <c r="P15" s="123"/>
      <c r="Q15" s="123"/>
      <c r="R15" s="123"/>
      <c r="S15" s="123"/>
    </row>
    <row r="16" spans="2:19">
      <c r="G16" s="123"/>
      <c r="H16" s="123"/>
      <c r="I16" s="123"/>
      <c r="J16" s="123"/>
      <c r="K16" s="123"/>
      <c r="L16" s="123"/>
      <c r="M16" s="123"/>
      <c r="N16" s="123"/>
      <c r="O16" s="123"/>
      <c r="P16" s="123"/>
      <c r="Q16" s="123"/>
      <c r="R16" s="123"/>
      <c r="S16" s="123"/>
    </row>
    <row r="17" spans="7:19">
      <c r="G17" s="123"/>
      <c r="H17" s="123"/>
      <c r="I17" s="123"/>
      <c r="J17" s="123"/>
      <c r="K17" s="123"/>
      <c r="L17" s="123"/>
      <c r="M17" s="123"/>
      <c r="N17" s="123"/>
      <c r="O17" s="123"/>
      <c r="P17" s="123"/>
      <c r="Q17" s="123"/>
      <c r="R17" s="123"/>
      <c r="S17" s="123"/>
    </row>
    <row r="18" spans="7:19">
      <c r="G18" s="123"/>
      <c r="H18" s="123"/>
      <c r="I18" s="123"/>
      <c r="J18" s="123"/>
      <c r="K18" s="123"/>
      <c r="L18" s="123"/>
      <c r="M18" s="123"/>
      <c r="N18" s="123"/>
      <c r="O18" s="123"/>
      <c r="P18" s="123"/>
      <c r="Q18" s="123"/>
      <c r="R18" s="123"/>
      <c r="S18" s="123"/>
    </row>
  </sheetData>
  <mergeCells count="1">
    <mergeCell ref="B5:J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1"/>
  <dimension ref="A2:E12"/>
  <sheetViews>
    <sheetView workbookViewId="0">
      <selection activeCell="C7" sqref="C7"/>
    </sheetView>
  </sheetViews>
  <sheetFormatPr defaultRowHeight="14.5"/>
  <cols>
    <col min="1" max="1" width="6.54296875" customWidth="1"/>
    <col min="2" max="2" width="76.54296875" customWidth="1"/>
    <col min="3" max="3" width="9.54296875" customWidth="1"/>
    <col min="5" max="5" width="11.7265625" bestFit="1" customWidth="1"/>
    <col min="6" max="6" width="10.81640625" customWidth="1"/>
  </cols>
  <sheetData>
    <row r="2" spans="1:5" s="16" customFormat="1">
      <c r="A2" s="193" t="s">
        <v>92</v>
      </c>
      <c r="B2" s="193"/>
      <c r="C2" s="193"/>
      <c r="D2" s="193"/>
    </row>
    <row r="3" spans="1:5" s="16" customFormat="1">
      <c r="A3" s="193"/>
      <c r="B3" s="193"/>
      <c r="C3" s="193"/>
      <c r="D3" s="193"/>
    </row>
    <row r="4" spans="1:5" s="16" customFormat="1" ht="18.5">
      <c r="A4" s="193" t="s">
        <v>132</v>
      </c>
      <c r="B4" s="193"/>
      <c r="C4" s="193"/>
      <c r="D4" s="193"/>
    </row>
    <row r="5" spans="1:5">
      <c r="A5" s="19"/>
    </row>
    <row r="6" spans="1:5" ht="18.5">
      <c r="B6" s="25" t="s">
        <v>0</v>
      </c>
      <c r="C6" s="25">
        <v>1000</v>
      </c>
    </row>
    <row r="7" spans="1:5" ht="18.5">
      <c r="B7" s="26" t="s">
        <v>2</v>
      </c>
      <c r="C7" s="26">
        <v>14</v>
      </c>
    </row>
    <row r="8" spans="1:5" ht="18.5">
      <c r="B8" s="25" t="s">
        <v>1</v>
      </c>
      <c r="C8" s="25">
        <v>100</v>
      </c>
    </row>
    <row r="9" spans="1:5" ht="47.9" customHeight="1">
      <c r="B9" s="27" t="s">
        <v>38</v>
      </c>
      <c r="C9" s="26">
        <v>18</v>
      </c>
    </row>
    <row r="10" spans="1:5" ht="74">
      <c r="B10" s="28" t="s">
        <v>39</v>
      </c>
      <c r="C10" s="25">
        <v>150</v>
      </c>
    </row>
    <row r="11" spans="1:5">
      <c r="B11" s="16"/>
      <c r="E11" s="174"/>
    </row>
    <row r="12" spans="1:5">
      <c r="B12" s="16"/>
    </row>
  </sheetData>
  <mergeCells count="2">
    <mergeCell ref="A2:D3"/>
    <mergeCell ref="A4:D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E11"/>
  <sheetViews>
    <sheetView workbookViewId="0">
      <selection activeCell="E19" sqref="E19"/>
    </sheetView>
  </sheetViews>
  <sheetFormatPr defaultColWidth="9.453125" defaultRowHeight="14.5"/>
  <cols>
    <col min="1" max="1" width="6.54296875" style="16" customWidth="1"/>
    <col min="2" max="2" width="76.54296875" style="16" customWidth="1"/>
    <col min="3" max="3" width="9.54296875" style="16" customWidth="1"/>
    <col min="4" max="4" width="9.453125" style="16"/>
    <col min="5" max="5" width="11.7265625" style="16" bestFit="1" customWidth="1"/>
    <col min="6" max="16384" width="9.453125" style="16"/>
  </cols>
  <sheetData>
    <row r="2" spans="1:5" ht="15" customHeight="1">
      <c r="A2" s="193" t="s">
        <v>92</v>
      </c>
      <c r="B2" s="193"/>
      <c r="C2" s="193"/>
      <c r="D2" s="193"/>
    </row>
    <row r="3" spans="1:5" ht="15" customHeight="1">
      <c r="A3" s="193"/>
      <c r="B3" s="193"/>
      <c r="C3" s="193"/>
      <c r="D3" s="193"/>
    </row>
    <row r="4" spans="1:5" ht="15" customHeight="1">
      <c r="A4" s="193" t="s">
        <v>134</v>
      </c>
      <c r="B4" s="193"/>
      <c r="C4" s="193"/>
      <c r="D4" s="193"/>
    </row>
    <row r="5" spans="1:5" ht="15" customHeight="1">
      <c r="A5" s="19"/>
    </row>
    <row r="6" spans="1:5" ht="15" customHeight="1">
      <c r="B6" s="25" t="s">
        <v>0</v>
      </c>
      <c r="C6" s="25">
        <v>1000</v>
      </c>
      <c r="D6" s="154"/>
    </row>
    <row r="7" spans="1:5" ht="18.5">
      <c r="B7" s="26" t="s">
        <v>2</v>
      </c>
      <c r="C7" s="26">
        <v>14</v>
      </c>
      <c r="D7" s="154"/>
    </row>
    <row r="8" spans="1:5" ht="18.5">
      <c r="B8" s="25" t="s">
        <v>1</v>
      </c>
      <c r="C8" s="25">
        <v>100</v>
      </c>
      <c r="D8" s="154"/>
    </row>
    <row r="9" spans="1:5" ht="47.9" customHeight="1">
      <c r="B9" s="27" t="s">
        <v>38</v>
      </c>
      <c r="C9" s="26">
        <v>18</v>
      </c>
      <c r="D9" s="154"/>
    </row>
    <row r="10" spans="1:5" ht="74">
      <c r="B10" s="28" t="s">
        <v>39</v>
      </c>
      <c r="C10" s="25">
        <v>300</v>
      </c>
      <c r="D10" s="154"/>
    </row>
    <row r="11" spans="1:5">
      <c r="D11" s="154"/>
      <c r="E11" s="174"/>
    </row>
  </sheetData>
  <mergeCells count="2">
    <mergeCell ref="A4:D4"/>
    <mergeCell ref="A2:D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3"/>
  <dimension ref="A2:D72"/>
  <sheetViews>
    <sheetView zoomScale="70" zoomScaleNormal="70" workbookViewId="0">
      <selection activeCell="D50" sqref="D50"/>
    </sheetView>
  </sheetViews>
  <sheetFormatPr defaultRowHeight="14.5"/>
  <cols>
    <col min="1" max="1" width="183.453125" bestFit="1" customWidth="1"/>
    <col min="2" max="2" width="16.453125" bestFit="1" customWidth="1"/>
    <col min="3" max="3" width="31.54296875" customWidth="1"/>
    <col min="4" max="4" width="12.1796875" style="22" customWidth="1"/>
  </cols>
  <sheetData>
    <row r="2" spans="1:4" s="16" customFormat="1" ht="14.9" customHeight="1">
      <c r="A2" s="194" t="s">
        <v>93</v>
      </c>
      <c r="B2" s="194"/>
      <c r="C2" s="194"/>
      <c r="D2" s="22"/>
    </row>
    <row r="3" spans="1:4" s="16" customFormat="1" ht="14.9" customHeight="1">
      <c r="A3" s="194"/>
      <c r="B3" s="194"/>
      <c r="C3" s="194"/>
      <c r="D3" s="22"/>
    </row>
    <row r="4" spans="1:4" s="16" customFormat="1">
      <c r="A4" s="194" t="s">
        <v>131</v>
      </c>
      <c r="B4" s="194"/>
      <c r="C4" s="194"/>
      <c r="D4" s="22"/>
    </row>
    <row r="5" spans="1:4" ht="15" thickBot="1">
      <c r="A5" s="194"/>
      <c r="B5" s="194"/>
      <c r="C5" s="194"/>
    </row>
    <row r="6" spans="1:4" ht="19" thickBot="1">
      <c r="A6" s="7" t="s">
        <v>121</v>
      </c>
      <c r="B6" s="8"/>
      <c r="C6" s="9"/>
    </row>
    <row r="7" spans="1:4" s="16" customFormat="1" ht="18.5">
      <c r="A7" s="3" t="s">
        <v>36</v>
      </c>
      <c r="B7" s="64">
        <v>3</v>
      </c>
      <c r="C7" s="4"/>
      <c r="D7" s="22"/>
    </row>
    <row r="8" spans="1:4" s="16" customFormat="1" ht="18.5">
      <c r="A8" s="5" t="s">
        <v>120</v>
      </c>
      <c r="B8" s="29">
        <v>7.35</v>
      </c>
      <c r="C8" s="6" t="s">
        <v>124</v>
      </c>
      <c r="D8" s="22"/>
    </row>
    <row r="9" spans="1:4" s="16" customFormat="1" ht="18.5">
      <c r="A9" s="3" t="s">
        <v>60</v>
      </c>
      <c r="B9" s="64">
        <v>5</v>
      </c>
      <c r="C9" s="4" t="s">
        <v>37</v>
      </c>
      <c r="D9" s="22"/>
    </row>
    <row r="10" spans="1:4" s="16" customFormat="1" ht="19" thickBot="1">
      <c r="A10" s="5" t="s">
        <v>61</v>
      </c>
      <c r="B10" s="65">
        <v>75</v>
      </c>
      <c r="C10" s="6" t="s">
        <v>37</v>
      </c>
      <c r="D10" s="22"/>
    </row>
    <row r="11" spans="1:4" ht="19" thickBot="1">
      <c r="A11" s="7" t="s">
        <v>3</v>
      </c>
      <c r="B11" s="8"/>
      <c r="C11" s="9"/>
    </row>
    <row r="12" spans="1:4" ht="18.5">
      <c r="A12" s="3" t="s">
        <v>4</v>
      </c>
      <c r="B12" s="1">
        <v>2</v>
      </c>
      <c r="C12" s="4" t="s">
        <v>5</v>
      </c>
    </row>
    <row r="13" spans="1:4" ht="18.5">
      <c r="A13" s="5" t="s">
        <v>166</v>
      </c>
      <c r="B13" s="2">
        <v>8</v>
      </c>
      <c r="C13" s="6" t="s">
        <v>5</v>
      </c>
    </row>
    <row r="14" spans="1:4" ht="18.5">
      <c r="A14" s="3" t="s">
        <v>7</v>
      </c>
      <c r="B14" s="1">
        <v>15</v>
      </c>
      <c r="C14" s="4" t="s">
        <v>5</v>
      </c>
    </row>
    <row r="15" spans="1:4" ht="18.5">
      <c r="A15" s="5" t="s">
        <v>8</v>
      </c>
      <c r="B15" s="2">
        <v>45</v>
      </c>
      <c r="C15" s="6" t="s">
        <v>5</v>
      </c>
    </row>
    <row r="16" spans="1:4" ht="19" thickBot="1">
      <c r="A16" s="3" t="s">
        <v>9</v>
      </c>
      <c r="B16" s="1">
        <v>300</v>
      </c>
      <c r="C16" s="4" t="s">
        <v>5</v>
      </c>
    </row>
    <row r="17" spans="1:4" ht="19" thickBot="1">
      <c r="A17" s="12" t="s">
        <v>10</v>
      </c>
      <c r="B17" s="13"/>
      <c r="C17" s="14"/>
    </row>
    <row r="18" spans="1:4" ht="18.5">
      <c r="A18" s="3" t="s">
        <v>11</v>
      </c>
      <c r="B18" s="1">
        <v>0.02</v>
      </c>
      <c r="C18" s="4" t="s">
        <v>5</v>
      </c>
    </row>
    <row r="19" spans="1:4" s="16" customFormat="1" ht="18.5">
      <c r="A19" s="5" t="s">
        <v>46</v>
      </c>
      <c r="B19" s="15">
        <v>10</v>
      </c>
      <c r="C19" s="6" t="s">
        <v>94</v>
      </c>
      <c r="D19" s="22"/>
    </row>
    <row r="20" spans="1:4" ht="19" thickBot="1">
      <c r="A20" s="3" t="s">
        <v>12</v>
      </c>
      <c r="B20" s="1">
        <v>1</v>
      </c>
      <c r="C20" s="4" t="s">
        <v>5</v>
      </c>
    </row>
    <row r="21" spans="1:4" ht="19" thickBot="1">
      <c r="A21" s="12" t="s">
        <v>54</v>
      </c>
      <c r="B21" s="13"/>
      <c r="C21" s="14"/>
    </row>
    <row r="22" spans="1:4" ht="18.5">
      <c r="A22" s="5" t="s">
        <v>13</v>
      </c>
      <c r="B22" s="2">
        <v>100000</v>
      </c>
      <c r="C22" s="6" t="s">
        <v>5</v>
      </c>
    </row>
    <row r="23" spans="1:4" ht="19" thickBot="1">
      <c r="A23" s="3" t="s">
        <v>14</v>
      </c>
      <c r="B23" s="1">
        <v>60000</v>
      </c>
      <c r="C23" s="4" t="s">
        <v>5</v>
      </c>
    </row>
    <row r="24" spans="1:4" ht="19" thickBot="1">
      <c r="A24" s="12" t="s">
        <v>106</v>
      </c>
      <c r="B24" s="13"/>
      <c r="C24" s="14"/>
    </row>
    <row r="25" spans="1:4" ht="18.5">
      <c r="A25" s="5" t="s">
        <v>16</v>
      </c>
      <c r="B25" s="2">
        <v>24000</v>
      </c>
      <c r="C25" s="6" t="s">
        <v>84</v>
      </c>
    </row>
    <row r="26" spans="1:4" ht="19" thickBot="1">
      <c r="A26" s="3" t="s">
        <v>17</v>
      </c>
      <c r="B26" s="1">
        <v>13000</v>
      </c>
      <c r="C26" s="4" t="s">
        <v>84</v>
      </c>
    </row>
    <row r="27" spans="1:4" s="11" customFormat="1" ht="19" thickBot="1">
      <c r="A27" s="12" t="s">
        <v>71</v>
      </c>
      <c r="B27" s="13"/>
      <c r="C27" s="14"/>
      <c r="D27" s="22"/>
    </row>
    <row r="28" spans="1:4" ht="18.5">
      <c r="A28" s="5" t="s">
        <v>18</v>
      </c>
      <c r="B28" s="29">
        <v>1.1000000000000001</v>
      </c>
      <c r="C28" s="6" t="s">
        <v>19</v>
      </c>
    </row>
    <row r="29" spans="1:4" ht="18.5">
      <c r="A29" s="3" t="s">
        <v>23</v>
      </c>
      <c r="B29" s="1">
        <v>0.36</v>
      </c>
      <c r="C29" s="4" t="s">
        <v>24</v>
      </c>
    </row>
    <row r="30" spans="1:4" ht="19" thickBot="1">
      <c r="A30" s="5" t="s">
        <v>25</v>
      </c>
      <c r="B30" s="29">
        <v>0.13</v>
      </c>
      <c r="C30" s="6" t="s">
        <v>24</v>
      </c>
    </row>
    <row r="31" spans="1:4" s="16" customFormat="1" ht="19" thickBot="1">
      <c r="A31" s="12" t="s">
        <v>72</v>
      </c>
      <c r="B31" s="13"/>
      <c r="C31" s="14"/>
      <c r="D31" s="22"/>
    </row>
    <row r="32" spans="1:4" s="16" customFormat="1" ht="18.5">
      <c r="A32" s="3" t="s">
        <v>26</v>
      </c>
      <c r="B32" s="1">
        <v>600</v>
      </c>
      <c r="C32" s="4" t="s">
        <v>27</v>
      </c>
      <c r="D32" s="22"/>
    </row>
    <row r="33" spans="1:4" s="16" customFormat="1" ht="18.5">
      <c r="A33" s="5" t="s">
        <v>28</v>
      </c>
      <c r="B33" s="2">
        <v>600</v>
      </c>
      <c r="C33" s="6" t="s">
        <v>27</v>
      </c>
      <c r="D33" s="22"/>
    </row>
    <row r="34" spans="1:4" s="16" customFormat="1" ht="18.5">
      <c r="A34" s="3" t="s">
        <v>29</v>
      </c>
      <c r="B34" s="1">
        <v>1000</v>
      </c>
      <c r="C34" s="4" t="s">
        <v>27</v>
      </c>
      <c r="D34" s="22"/>
    </row>
    <row r="35" spans="1:4" s="16" customFormat="1" ht="18.5">
      <c r="A35" s="5" t="s">
        <v>30</v>
      </c>
      <c r="B35" s="2">
        <v>800</v>
      </c>
      <c r="C35" s="6" t="s">
        <v>27</v>
      </c>
      <c r="D35" s="22"/>
    </row>
    <row r="36" spans="1:4" s="16" customFormat="1" ht="18.5">
      <c r="A36" s="3" t="s">
        <v>31</v>
      </c>
      <c r="B36" s="1">
        <v>240</v>
      </c>
      <c r="C36" s="4" t="s">
        <v>27</v>
      </c>
      <c r="D36" s="22"/>
    </row>
    <row r="37" spans="1:4" s="16" customFormat="1" ht="19" thickBot="1">
      <c r="A37" s="31" t="s">
        <v>32</v>
      </c>
      <c r="B37" s="2">
        <v>120</v>
      </c>
      <c r="C37" s="32" t="s">
        <v>33</v>
      </c>
      <c r="D37" s="22"/>
    </row>
    <row r="38" spans="1:4" s="16" customFormat="1" ht="19" thickBot="1">
      <c r="A38" s="12" t="s">
        <v>34</v>
      </c>
      <c r="B38" s="13"/>
      <c r="C38" s="14"/>
      <c r="D38" s="22"/>
    </row>
    <row r="39" spans="1:4" s="16" customFormat="1" ht="19" thickBot="1">
      <c r="A39" s="33" t="s">
        <v>35</v>
      </c>
      <c r="B39" s="18">
        <v>0.1</v>
      </c>
      <c r="C39" s="34"/>
      <c r="D39" s="22"/>
    </row>
    <row r="40" spans="1:4" s="16" customFormat="1" ht="19" thickBot="1">
      <c r="A40" s="12" t="s">
        <v>156</v>
      </c>
      <c r="B40" s="13"/>
      <c r="C40" s="14"/>
      <c r="D40" s="22"/>
    </row>
    <row r="41" spans="1:4" ht="18.5">
      <c r="A41" s="35" t="s">
        <v>164</v>
      </c>
      <c r="B41" s="92">
        <f>((B49-'Τύποι Παραγωγών-Χειμώνας'!C9*'Δεδομένα-Χειμώνας'!B9*7)/'Δεδομένα-Χειμώνας'!B8)+'Τύποι Παραγωγών-Χειμώνας'!C9</f>
        <v>1292.8299319727892</v>
      </c>
      <c r="C41" s="36" t="s">
        <v>20</v>
      </c>
    </row>
    <row r="42" spans="1:4" s="22" customFormat="1" ht="18.5">
      <c r="A42" s="93" t="s">
        <v>122</v>
      </c>
      <c r="B42" s="96">
        <f>30/60</f>
        <v>0.5</v>
      </c>
      <c r="C42" s="95" t="s">
        <v>57</v>
      </c>
    </row>
    <row r="43" spans="1:4" s="16" customFormat="1" ht="18.5">
      <c r="A43" s="35" t="s">
        <v>167</v>
      </c>
      <c r="B43" s="63">
        <f>(B42*B41)/60</f>
        <v>10.77358276643991</v>
      </c>
      <c r="C43" s="36" t="s">
        <v>123</v>
      </c>
      <c r="D43" s="22"/>
    </row>
    <row r="44" spans="1:4" s="22" customFormat="1" ht="18.5">
      <c r="A44" s="93" t="s">
        <v>119</v>
      </c>
      <c r="B44" s="94">
        <v>1</v>
      </c>
      <c r="C44" s="95" t="s">
        <v>118</v>
      </c>
    </row>
    <row r="45" spans="1:4" ht="18.5">
      <c r="A45" s="35" t="s">
        <v>116</v>
      </c>
      <c r="B45" s="30">
        <v>1</v>
      </c>
      <c r="C45" s="36"/>
    </row>
    <row r="46" spans="1:4" ht="18.5">
      <c r="A46" s="37" t="s">
        <v>117</v>
      </c>
      <c r="B46" s="20">
        <v>1</v>
      </c>
      <c r="C46" s="38"/>
    </row>
    <row r="47" spans="1:4" ht="18.5">
      <c r="A47" s="35" t="s">
        <v>107</v>
      </c>
      <c r="B47" s="30">
        <v>80</v>
      </c>
      <c r="C47" s="36" t="s">
        <v>21</v>
      </c>
    </row>
    <row r="48" spans="1:4" ht="18.5">
      <c r="A48" s="37" t="s">
        <v>114</v>
      </c>
      <c r="B48" s="20">
        <v>275</v>
      </c>
      <c r="C48" s="38" t="s">
        <v>22</v>
      </c>
    </row>
    <row r="49" spans="1:4" ht="18.5">
      <c r="A49" s="35" t="s">
        <v>59</v>
      </c>
      <c r="B49" s="30">
        <v>10000</v>
      </c>
      <c r="C49" s="36" t="s">
        <v>62</v>
      </c>
    </row>
    <row r="50" spans="1:4" s="16" customFormat="1" ht="18.5">
      <c r="A50" s="142" t="s">
        <v>168</v>
      </c>
      <c r="B50" s="143">
        <f>((B52*60)/B42)</f>
        <v>540</v>
      </c>
      <c r="C50" s="144" t="s">
        <v>163</v>
      </c>
      <c r="D50" s="22"/>
    </row>
    <row r="51" spans="1:4" s="148" customFormat="1" ht="18.5">
      <c r="A51" s="159" t="s">
        <v>178</v>
      </c>
      <c r="B51" s="160">
        <f>B50*B53</f>
        <v>1080</v>
      </c>
      <c r="C51" s="161" t="s">
        <v>179</v>
      </c>
      <c r="D51" s="22"/>
    </row>
    <row r="52" spans="1:4" s="134" customFormat="1" ht="18.5">
      <c r="A52" s="37" t="s">
        <v>183</v>
      </c>
      <c r="B52" s="140">
        <v>4.5</v>
      </c>
      <c r="C52" s="38" t="s">
        <v>123</v>
      </c>
      <c r="D52" s="22"/>
    </row>
    <row r="53" spans="1:4" s="148" customFormat="1" ht="18.5">
      <c r="A53" s="101" t="s">
        <v>198</v>
      </c>
      <c r="B53" s="162">
        <v>2</v>
      </c>
      <c r="C53" s="102" t="s">
        <v>177</v>
      </c>
      <c r="D53" s="22"/>
    </row>
    <row r="54" spans="1:4" s="148" customFormat="1" ht="18.5">
      <c r="A54" s="37" t="s">
        <v>199</v>
      </c>
      <c r="B54" s="152">
        <f>(B51-'Τύποι Παραγωγών-Χειμώνας'!C9)*'Δεδομένα-Χειμώνας'!B8+('Τύποι Παραγωγών-Χειμώνας'!C9*'Δεδομένα-Χειμώνας'!B9*7)</f>
        <v>8435.7000000000007</v>
      </c>
      <c r="C54" s="38" t="s">
        <v>200</v>
      </c>
      <c r="D54" s="22"/>
    </row>
    <row r="55" spans="1:4" s="148" customFormat="1" ht="19" thickBot="1">
      <c r="A55" s="101" t="s">
        <v>201</v>
      </c>
      <c r="B55" s="163">
        <f>B54/B49</f>
        <v>0.84357000000000004</v>
      </c>
      <c r="C55" s="102"/>
      <c r="D55" s="22"/>
    </row>
    <row r="56" spans="1:4" ht="19" thickBot="1">
      <c r="A56" s="12" t="s">
        <v>157</v>
      </c>
      <c r="B56" s="13"/>
      <c r="C56" s="14"/>
    </row>
    <row r="57" spans="1:4" ht="18.5">
      <c r="A57" s="37" t="s">
        <v>56</v>
      </c>
      <c r="B57" s="20">
        <v>5</v>
      </c>
      <c r="C57" s="38" t="s">
        <v>57</v>
      </c>
    </row>
    <row r="58" spans="1:4" ht="18.5">
      <c r="A58" s="136" t="s">
        <v>180</v>
      </c>
      <c r="B58" s="30">
        <f>(7.5*60)/B57</f>
        <v>90</v>
      </c>
      <c r="C58" s="36" t="s">
        <v>20</v>
      </c>
    </row>
    <row r="59" spans="1:4" ht="18.5">
      <c r="A59" s="37" t="s">
        <v>110</v>
      </c>
      <c r="B59" s="20">
        <v>0</v>
      </c>
      <c r="C59" s="38" t="s">
        <v>58</v>
      </c>
    </row>
    <row r="60" spans="1:4" s="16" customFormat="1" ht="18.5">
      <c r="A60" s="35" t="s">
        <v>119</v>
      </c>
      <c r="B60" s="30">
        <v>1</v>
      </c>
      <c r="C60" s="36" t="s">
        <v>129</v>
      </c>
      <c r="D60" s="22"/>
    </row>
    <row r="61" spans="1:4" s="16" customFormat="1" ht="18.5">
      <c r="A61" s="37" t="s">
        <v>181</v>
      </c>
      <c r="B61" s="20">
        <v>1</v>
      </c>
      <c r="C61" s="38" t="s">
        <v>58</v>
      </c>
      <c r="D61" s="22"/>
    </row>
    <row r="62" spans="1:4" s="16" customFormat="1" ht="18.5">
      <c r="A62" s="35" t="s">
        <v>59</v>
      </c>
      <c r="B62" s="30">
        <v>10000</v>
      </c>
      <c r="C62" s="36" t="s">
        <v>62</v>
      </c>
      <c r="D62" s="22"/>
    </row>
    <row r="63" spans="1:4" s="148" customFormat="1" ht="18.5">
      <c r="A63" s="164" t="s">
        <v>174</v>
      </c>
      <c r="B63" s="165">
        <f>B58*B10</f>
        <v>6750</v>
      </c>
      <c r="C63" s="166" t="s">
        <v>182</v>
      </c>
      <c r="D63" s="22"/>
    </row>
    <row r="64" spans="1:4" ht="19" thickBot="1">
      <c r="A64" s="101" t="s">
        <v>175</v>
      </c>
      <c r="B64" s="163">
        <f>B63/B62</f>
        <v>0.67500000000000004</v>
      </c>
      <c r="C64" s="102"/>
    </row>
    <row r="65" spans="1:4" ht="19" thickBot="1">
      <c r="A65" s="12" t="s">
        <v>73</v>
      </c>
      <c r="B65" s="13"/>
      <c r="C65" s="14"/>
    </row>
    <row r="66" spans="1:4" ht="18.5">
      <c r="A66" s="35" t="s">
        <v>74</v>
      </c>
      <c r="B66" s="30">
        <v>1</v>
      </c>
      <c r="C66" s="36" t="s">
        <v>75</v>
      </c>
    </row>
    <row r="67" spans="1:4" s="16" customFormat="1" ht="18.5">
      <c r="A67" s="37" t="s">
        <v>112</v>
      </c>
      <c r="B67" s="20">
        <f>(60/B66)*8*21</f>
        <v>10080</v>
      </c>
      <c r="C67" s="38" t="s">
        <v>76</v>
      </c>
      <c r="D67" s="22"/>
    </row>
    <row r="68" spans="1:4" s="16" customFormat="1" ht="19" thickBot="1">
      <c r="A68" s="3" t="s">
        <v>15</v>
      </c>
      <c r="B68" s="1">
        <v>24000</v>
      </c>
      <c r="C68" s="4" t="s">
        <v>84</v>
      </c>
      <c r="D68" s="22"/>
    </row>
    <row r="69" spans="1:4" ht="19" thickBot="1">
      <c r="A69" s="12" t="s">
        <v>82</v>
      </c>
      <c r="B69" s="13"/>
      <c r="C69" s="14"/>
    </row>
    <row r="70" spans="1:4" ht="19" thickBot="1">
      <c r="A70" s="31" t="s">
        <v>83</v>
      </c>
      <c r="B70" s="17">
        <v>20</v>
      </c>
      <c r="C70" s="32" t="s">
        <v>85</v>
      </c>
    </row>
    <row r="71" spans="1:4" ht="19" thickBot="1">
      <c r="A71" s="12" t="s">
        <v>79</v>
      </c>
      <c r="B71" s="13"/>
      <c r="C71" s="14"/>
    </row>
    <row r="72" spans="1:4" ht="19" thickBot="1">
      <c r="A72" s="39" t="s">
        <v>80</v>
      </c>
      <c r="B72" s="10">
        <v>5</v>
      </c>
      <c r="C72" s="40" t="s">
        <v>113</v>
      </c>
    </row>
  </sheetData>
  <mergeCells count="2">
    <mergeCell ref="A2:C3"/>
    <mergeCell ref="A4:C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
  <dimension ref="A2:F72"/>
  <sheetViews>
    <sheetView zoomScale="70" zoomScaleNormal="70" workbookViewId="0">
      <selection activeCell="D8" sqref="D8"/>
    </sheetView>
  </sheetViews>
  <sheetFormatPr defaultColWidth="9.453125" defaultRowHeight="14.5"/>
  <cols>
    <col min="1" max="1" width="165.453125" style="16" customWidth="1"/>
    <col min="2" max="2" width="16.453125" style="16" bestFit="1" customWidth="1"/>
    <col min="3" max="3" width="31.54296875" style="16" customWidth="1"/>
    <col min="4" max="4" width="9.453125" style="22"/>
    <col min="5" max="16384" width="9.453125" style="16"/>
  </cols>
  <sheetData>
    <row r="2" spans="1:6" ht="14.9" customHeight="1">
      <c r="A2" s="194" t="s">
        <v>93</v>
      </c>
      <c r="B2" s="194"/>
      <c r="C2" s="194"/>
    </row>
    <row r="3" spans="1:6" ht="14.9" customHeight="1">
      <c r="A3" s="194"/>
      <c r="B3" s="194"/>
      <c r="C3" s="194"/>
    </row>
    <row r="4" spans="1:6">
      <c r="A4" s="194" t="s">
        <v>133</v>
      </c>
      <c r="B4" s="194"/>
      <c r="C4" s="194"/>
    </row>
    <row r="5" spans="1:6" ht="15" thickBot="1">
      <c r="A5" s="194"/>
      <c r="B5" s="194"/>
      <c r="C5" s="194"/>
    </row>
    <row r="6" spans="1:6" ht="19" thickBot="1">
      <c r="A6" s="7" t="s">
        <v>135</v>
      </c>
      <c r="B6" s="8"/>
      <c r="C6" s="9"/>
    </row>
    <row r="7" spans="1:6" ht="18.5">
      <c r="A7" s="3" t="s">
        <v>36</v>
      </c>
      <c r="B7" s="64">
        <v>3</v>
      </c>
      <c r="C7" s="4"/>
    </row>
    <row r="8" spans="1:6" ht="18.5">
      <c r="A8" s="5" t="s">
        <v>169</v>
      </c>
      <c r="B8" s="29">
        <f>9.19/7</f>
        <v>1.3128571428571427</v>
      </c>
      <c r="C8" s="6" t="s">
        <v>162</v>
      </c>
      <c r="F8" s="135"/>
    </row>
    <row r="9" spans="1:6" ht="18.5">
      <c r="A9" s="3" t="s">
        <v>60</v>
      </c>
      <c r="B9" s="64">
        <v>5</v>
      </c>
      <c r="C9" s="4" t="s">
        <v>37</v>
      </c>
      <c r="F9" s="135"/>
    </row>
    <row r="10" spans="1:6" ht="19" thickBot="1">
      <c r="A10" s="5" t="s">
        <v>61</v>
      </c>
      <c r="B10" s="65">
        <v>75</v>
      </c>
      <c r="C10" s="6" t="s">
        <v>37</v>
      </c>
      <c r="F10" s="135"/>
    </row>
    <row r="11" spans="1:6" ht="19" thickBot="1">
      <c r="A11" s="7" t="s">
        <v>3</v>
      </c>
      <c r="B11" s="8"/>
      <c r="C11" s="9"/>
    </row>
    <row r="12" spans="1:6" ht="18.5">
      <c r="A12" s="3" t="s">
        <v>4</v>
      </c>
      <c r="B12" s="1">
        <v>2</v>
      </c>
      <c r="C12" s="4" t="s">
        <v>5</v>
      </c>
    </row>
    <row r="13" spans="1:6" ht="18.5">
      <c r="A13" s="5" t="s">
        <v>6</v>
      </c>
      <c r="B13" s="2">
        <v>8</v>
      </c>
      <c r="C13" s="6" t="s">
        <v>5</v>
      </c>
    </row>
    <row r="14" spans="1:6" ht="18.5">
      <c r="A14" s="3" t="s">
        <v>7</v>
      </c>
      <c r="B14" s="1">
        <v>15</v>
      </c>
      <c r="C14" s="4" t="s">
        <v>5</v>
      </c>
    </row>
    <row r="15" spans="1:6" ht="18.5">
      <c r="A15" s="5" t="s">
        <v>8</v>
      </c>
      <c r="B15" s="2">
        <v>45</v>
      </c>
      <c r="C15" s="6" t="s">
        <v>5</v>
      </c>
    </row>
    <row r="16" spans="1:6" ht="19" thickBot="1">
      <c r="A16" s="3" t="s">
        <v>9</v>
      </c>
      <c r="B16" s="1">
        <v>300</v>
      </c>
      <c r="C16" s="4" t="s">
        <v>5</v>
      </c>
    </row>
    <row r="17" spans="1:3" ht="19" thickBot="1">
      <c r="A17" s="12" t="s">
        <v>10</v>
      </c>
      <c r="B17" s="13"/>
      <c r="C17" s="14"/>
    </row>
    <row r="18" spans="1:3" ht="18.5">
      <c r="A18" s="3" t="s">
        <v>11</v>
      </c>
      <c r="B18" s="1">
        <v>0.02</v>
      </c>
      <c r="C18" s="4" t="s">
        <v>5</v>
      </c>
    </row>
    <row r="19" spans="1:3" ht="18.5">
      <c r="A19" s="5" t="s">
        <v>46</v>
      </c>
      <c r="B19" s="15">
        <v>10</v>
      </c>
      <c r="C19" s="6" t="s">
        <v>94</v>
      </c>
    </row>
    <row r="20" spans="1:3" ht="19" thickBot="1">
      <c r="A20" s="3" t="s">
        <v>12</v>
      </c>
      <c r="B20" s="1">
        <v>1</v>
      </c>
      <c r="C20" s="4" t="s">
        <v>5</v>
      </c>
    </row>
    <row r="21" spans="1:3" ht="19" thickBot="1">
      <c r="A21" s="12" t="s">
        <v>54</v>
      </c>
      <c r="B21" s="13"/>
      <c r="C21" s="14"/>
    </row>
    <row r="22" spans="1:3" ht="18.5">
      <c r="A22" s="5" t="s">
        <v>13</v>
      </c>
      <c r="B22" s="2">
        <v>100000</v>
      </c>
      <c r="C22" s="6" t="s">
        <v>5</v>
      </c>
    </row>
    <row r="23" spans="1:3" ht="19" thickBot="1">
      <c r="A23" s="3" t="s">
        <v>14</v>
      </c>
      <c r="B23" s="1">
        <v>60000</v>
      </c>
      <c r="C23" s="4" t="s">
        <v>5</v>
      </c>
    </row>
    <row r="24" spans="1:3" ht="19" thickBot="1">
      <c r="A24" s="12" t="s">
        <v>106</v>
      </c>
      <c r="B24" s="13"/>
      <c r="C24" s="14"/>
    </row>
    <row r="25" spans="1:3" ht="18.5">
      <c r="A25" s="5" t="s">
        <v>16</v>
      </c>
      <c r="B25" s="2">
        <v>24000</v>
      </c>
      <c r="C25" s="6" t="s">
        <v>84</v>
      </c>
    </row>
    <row r="26" spans="1:3" ht="19" thickBot="1">
      <c r="A26" s="3" t="s">
        <v>17</v>
      </c>
      <c r="B26" s="1">
        <v>13000</v>
      </c>
      <c r="C26" s="4" t="s">
        <v>84</v>
      </c>
    </row>
    <row r="27" spans="1:3" ht="19" thickBot="1">
      <c r="A27" s="12" t="s">
        <v>71</v>
      </c>
      <c r="B27" s="13"/>
      <c r="C27" s="14"/>
    </row>
    <row r="28" spans="1:3" ht="18.5">
      <c r="A28" s="5" t="s">
        <v>18</v>
      </c>
      <c r="B28" s="29">
        <v>1.1000000000000001</v>
      </c>
      <c r="C28" s="6" t="s">
        <v>19</v>
      </c>
    </row>
    <row r="29" spans="1:3" ht="18.5">
      <c r="A29" s="3" t="s">
        <v>23</v>
      </c>
      <c r="B29" s="1">
        <v>0.36</v>
      </c>
      <c r="C29" s="4" t="s">
        <v>24</v>
      </c>
    </row>
    <row r="30" spans="1:3" ht="19" thickBot="1">
      <c r="A30" s="5" t="s">
        <v>25</v>
      </c>
      <c r="B30" s="29">
        <v>0.13</v>
      </c>
      <c r="C30" s="6" t="s">
        <v>24</v>
      </c>
    </row>
    <row r="31" spans="1:3" ht="19" thickBot="1">
      <c r="A31" s="12" t="s">
        <v>72</v>
      </c>
      <c r="B31" s="13"/>
      <c r="C31" s="14"/>
    </row>
    <row r="32" spans="1:3" ht="18.5">
      <c r="A32" s="3" t="s">
        <v>26</v>
      </c>
      <c r="B32" s="1">
        <v>600</v>
      </c>
      <c r="C32" s="4" t="s">
        <v>27</v>
      </c>
    </row>
    <row r="33" spans="1:4" ht="18.5">
      <c r="A33" s="5" t="s">
        <v>28</v>
      </c>
      <c r="B33" s="2">
        <v>600</v>
      </c>
      <c r="C33" s="6" t="s">
        <v>27</v>
      </c>
    </row>
    <row r="34" spans="1:4" ht="18.5">
      <c r="A34" s="3" t="s">
        <v>29</v>
      </c>
      <c r="B34" s="1">
        <v>1000</v>
      </c>
      <c r="C34" s="4" t="s">
        <v>27</v>
      </c>
    </row>
    <row r="35" spans="1:4" ht="18.5">
      <c r="A35" s="5" t="s">
        <v>30</v>
      </c>
      <c r="B35" s="2">
        <v>800</v>
      </c>
      <c r="C35" s="6" t="s">
        <v>27</v>
      </c>
    </row>
    <row r="36" spans="1:4" ht="18.5">
      <c r="A36" s="3" t="s">
        <v>31</v>
      </c>
      <c r="B36" s="1">
        <v>240</v>
      </c>
      <c r="C36" s="4" t="s">
        <v>27</v>
      </c>
    </row>
    <row r="37" spans="1:4" ht="19" thickBot="1">
      <c r="A37" s="31" t="s">
        <v>32</v>
      </c>
      <c r="B37" s="2">
        <v>120</v>
      </c>
      <c r="C37" s="32" t="s">
        <v>33</v>
      </c>
    </row>
    <row r="38" spans="1:4" ht="19" thickBot="1">
      <c r="A38" s="12" t="s">
        <v>34</v>
      </c>
      <c r="B38" s="13"/>
      <c r="C38" s="14"/>
    </row>
    <row r="39" spans="1:4" ht="19" thickBot="1">
      <c r="A39" s="33" t="s">
        <v>35</v>
      </c>
      <c r="B39" s="18">
        <v>0.1</v>
      </c>
      <c r="C39" s="34"/>
    </row>
    <row r="40" spans="1:4" ht="19" thickBot="1">
      <c r="A40" s="12" t="s">
        <v>158</v>
      </c>
      <c r="B40" s="13"/>
      <c r="C40" s="14"/>
    </row>
    <row r="41" spans="1:4" ht="18.5">
      <c r="A41" s="101" t="s">
        <v>195</v>
      </c>
      <c r="B41" s="139">
        <f>((B49-'Τύποι Παραγωγών-Καλοκαίρι'!C9*'Δεδομένα-Καλοκαίρι'!B9*4)/('Δεδομένα-Καλοκαίρι'!B8*4))+'Τύποι Παραγωγών-Καλοκαίρι'!C9</f>
        <v>1853.6909684439611</v>
      </c>
      <c r="C41" s="102" t="s">
        <v>20</v>
      </c>
    </row>
    <row r="42" spans="1:4" ht="18.5">
      <c r="A42" s="37" t="s">
        <v>122</v>
      </c>
      <c r="B42" s="96">
        <f>30/60</f>
        <v>0.5</v>
      </c>
      <c r="C42" s="95" t="s">
        <v>57</v>
      </c>
    </row>
    <row r="43" spans="1:4" ht="18.5">
      <c r="A43" s="35" t="s">
        <v>167</v>
      </c>
      <c r="B43" s="63">
        <f>(B42*B41)/60</f>
        <v>15.447424737033009</v>
      </c>
      <c r="C43" s="36" t="s">
        <v>123</v>
      </c>
      <c r="D43" s="21"/>
    </row>
    <row r="44" spans="1:4" ht="18.5">
      <c r="A44" s="115" t="s">
        <v>119</v>
      </c>
      <c r="B44" s="116">
        <v>2</v>
      </c>
      <c r="C44" s="117" t="s">
        <v>136</v>
      </c>
    </row>
    <row r="45" spans="1:4" ht="18.5">
      <c r="A45" s="119" t="s">
        <v>116</v>
      </c>
      <c r="B45" s="120">
        <v>1</v>
      </c>
      <c r="C45" s="121"/>
    </row>
    <row r="46" spans="1:4" ht="18.5">
      <c r="A46" s="101" t="s">
        <v>117</v>
      </c>
      <c r="B46" s="118">
        <v>1</v>
      </c>
      <c r="C46" s="102"/>
    </row>
    <row r="47" spans="1:4" ht="18.5">
      <c r="A47" s="119" t="s">
        <v>107</v>
      </c>
      <c r="B47" s="120">
        <v>80</v>
      </c>
      <c r="C47" s="121" t="s">
        <v>21</v>
      </c>
    </row>
    <row r="48" spans="1:4" ht="18.5">
      <c r="A48" s="101" t="s">
        <v>114</v>
      </c>
      <c r="B48" s="118">
        <v>275</v>
      </c>
      <c r="C48" s="102" t="s">
        <v>22</v>
      </c>
    </row>
    <row r="49" spans="1:4" ht="18.5">
      <c r="A49" s="119" t="s">
        <v>59</v>
      </c>
      <c r="B49" s="120">
        <v>10000</v>
      </c>
      <c r="C49" s="121" t="s">
        <v>62</v>
      </c>
    </row>
    <row r="50" spans="1:4" s="134" customFormat="1" ht="18.5">
      <c r="A50" s="167" t="s">
        <v>168</v>
      </c>
      <c r="B50" s="146">
        <f>B52*60/B42</f>
        <v>540</v>
      </c>
      <c r="C50" s="147" t="s">
        <v>163</v>
      </c>
      <c r="D50" s="22"/>
    </row>
    <row r="51" spans="1:4" s="134" customFormat="1" ht="18.5">
      <c r="A51" s="159" t="s">
        <v>178</v>
      </c>
      <c r="B51" s="160">
        <f>B50*B53</f>
        <v>1080</v>
      </c>
      <c r="C51" s="161" t="s">
        <v>179</v>
      </c>
      <c r="D51" s="22"/>
    </row>
    <row r="52" spans="1:4" s="148" customFormat="1" ht="18.5">
      <c r="A52" s="37" t="s">
        <v>165</v>
      </c>
      <c r="B52" s="140">
        <v>4.5</v>
      </c>
      <c r="C52" s="38" t="s">
        <v>123</v>
      </c>
      <c r="D52" s="22"/>
    </row>
    <row r="53" spans="1:4" s="148" customFormat="1" ht="18.5">
      <c r="A53" s="101" t="s">
        <v>176</v>
      </c>
      <c r="B53" s="162">
        <v>2</v>
      </c>
      <c r="C53" s="102" t="s">
        <v>177</v>
      </c>
      <c r="D53" s="22"/>
    </row>
    <row r="54" spans="1:4" s="148" customFormat="1" ht="18.5">
      <c r="A54" s="164" t="s">
        <v>174</v>
      </c>
      <c r="B54" s="168">
        <f>(B51-'Τύποι Παραγωγών-Καλοκαίρι'!C9)*'Δεδομένα-Καλοκαίρι'!B8*4+'Τύποι Παραγωγών-Καλοκαίρι'!C9*'Δεδομένα-Καλοκαίρι'!B9*4</f>
        <v>5937.0171428571421</v>
      </c>
      <c r="C54" s="166" t="s">
        <v>182</v>
      </c>
      <c r="D54" s="22"/>
    </row>
    <row r="55" spans="1:4" ht="19" thickBot="1">
      <c r="A55" s="101" t="s">
        <v>175</v>
      </c>
      <c r="B55" s="163">
        <f>B54/B49</f>
        <v>0.59370171428571417</v>
      </c>
      <c r="C55" s="102"/>
    </row>
    <row r="56" spans="1:4" ht="19" thickBot="1">
      <c r="A56" s="12" t="s">
        <v>157</v>
      </c>
      <c r="B56" s="13"/>
      <c r="C56" s="14"/>
    </row>
    <row r="57" spans="1:4" ht="18.5">
      <c r="A57" s="37" t="s">
        <v>56</v>
      </c>
      <c r="B57" s="20">
        <v>5</v>
      </c>
      <c r="C57" s="38" t="s">
        <v>57</v>
      </c>
    </row>
    <row r="58" spans="1:4" ht="18.5">
      <c r="A58" s="35" t="s">
        <v>196</v>
      </c>
      <c r="B58" s="30">
        <f>(7.5*60)/B57</f>
        <v>90</v>
      </c>
      <c r="C58" s="36" t="s">
        <v>20</v>
      </c>
    </row>
    <row r="59" spans="1:4" ht="18.5">
      <c r="A59" s="37" t="s">
        <v>110</v>
      </c>
      <c r="B59" s="20">
        <v>0</v>
      </c>
      <c r="C59" s="38" t="s">
        <v>58</v>
      </c>
    </row>
    <row r="60" spans="1:4" s="149" customFormat="1" ht="18.5">
      <c r="A60" s="35" t="s">
        <v>119</v>
      </c>
      <c r="B60" s="30">
        <v>1</v>
      </c>
      <c r="C60" s="36" t="s">
        <v>129</v>
      </c>
      <c r="D60" s="22"/>
    </row>
    <row r="61" spans="1:4" ht="18.5">
      <c r="A61" s="35" t="s">
        <v>111</v>
      </c>
      <c r="B61" s="30">
        <v>1</v>
      </c>
      <c r="C61" s="36" t="s">
        <v>58</v>
      </c>
    </row>
    <row r="62" spans="1:4" ht="18.5">
      <c r="A62" s="37" t="s">
        <v>59</v>
      </c>
      <c r="B62" s="20">
        <v>10000</v>
      </c>
      <c r="C62" s="38" t="s">
        <v>62</v>
      </c>
    </row>
    <row r="63" spans="1:4" s="149" customFormat="1" ht="18.5">
      <c r="A63" s="164" t="s">
        <v>174</v>
      </c>
      <c r="B63" s="165">
        <f>B58*B10</f>
        <v>6750</v>
      </c>
      <c r="C63" s="166" t="s">
        <v>182</v>
      </c>
      <c r="D63" s="22"/>
    </row>
    <row r="64" spans="1:4" s="149" customFormat="1" ht="19" thickBot="1">
      <c r="A64" s="101" t="s">
        <v>175</v>
      </c>
      <c r="B64" s="163">
        <f>B63/B62</f>
        <v>0.67500000000000004</v>
      </c>
      <c r="C64" s="102"/>
    </row>
    <row r="65" spans="1:4" ht="19" thickBot="1">
      <c r="A65" s="12" t="s">
        <v>73</v>
      </c>
      <c r="B65" s="13"/>
      <c r="C65" s="14"/>
      <c r="D65" s="149"/>
    </row>
    <row r="66" spans="1:4" ht="18.5">
      <c r="A66" s="35" t="s">
        <v>74</v>
      </c>
      <c r="B66" s="30">
        <v>1</v>
      </c>
      <c r="C66" s="36" t="s">
        <v>75</v>
      </c>
      <c r="D66" s="149"/>
    </row>
    <row r="67" spans="1:4" ht="18.5">
      <c r="A67" s="37" t="s">
        <v>112</v>
      </c>
      <c r="B67" s="20">
        <f>(60/B66)*8*21</f>
        <v>10080</v>
      </c>
      <c r="C67" s="38" t="s">
        <v>76</v>
      </c>
      <c r="D67" s="149"/>
    </row>
    <row r="68" spans="1:4" ht="19" thickBot="1">
      <c r="A68" s="3" t="s">
        <v>15</v>
      </c>
      <c r="B68" s="1">
        <v>24000</v>
      </c>
      <c r="C68" s="4" t="s">
        <v>84</v>
      </c>
    </row>
    <row r="69" spans="1:4" ht="19" thickBot="1">
      <c r="A69" s="12" t="s">
        <v>82</v>
      </c>
      <c r="B69" s="13"/>
      <c r="C69" s="14"/>
    </row>
    <row r="70" spans="1:4" ht="19" thickBot="1">
      <c r="A70" s="31" t="s">
        <v>83</v>
      </c>
      <c r="B70" s="17">
        <v>20</v>
      </c>
      <c r="C70" s="32" t="s">
        <v>85</v>
      </c>
    </row>
    <row r="71" spans="1:4" ht="19" thickBot="1">
      <c r="A71" s="12" t="s">
        <v>79</v>
      </c>
      <c r="B71" s="13"/>
      <c r="C71" s="14"/>
    </row>
    <row r="72" spans="1:4" ht="19" thickBot="1">
      <c r="A72" s="39" t="s">
        <v>80</v>
      </c>
      <c r="B72" s="10">
        <v>5</v>
      </c>
      <c r="C72" s="40" t="s">
        <v>113</v>
      </c>
    </row>
  </sheetData>
  <mergeCells count="2">
    <mergeCell ref="A2:C3"/>
    <mergeCell ref="A4:C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4"/>
  <dimension ref="A1:H65"/>
  <sheetViews>
    <sheetView tabSelected="1" topLeftCell="A37" zoomScaleNormal="100" workbookViewId="0">
      <selection activeCell="C51" sqref="C51"/>
    </sheetView>
  </sheetViews>
  <sheetFormatPr defaultRowHeight="14.5"/>
  <cols>
    <col min="1" max="1" width="1.453125" customWidth="1"/>
    <col min="2" max="2" width="79.54296875" customWidth="1"/>
    <col min="3" max="3" width="14.54296875" bestFit="1" customWidth="1"/>
    <col min="4" max="4" width="35.453125" bestFit="1" customWidth="1"/>
    <col min="5" max="5" width="3.54296875" style="22" customWidth="1"/>
    <col min="6" max="6" width="82.453125" style="22" customWidth="1"/>
    <col min="7" max="7" width="9.453125" style="22"/>
    <col min="8" max="8" width="9.54296875" style="22" customWidth="1"/>
  </cols>
  <sheetData>
    <row r="1" spans="1:8" ht="18.5">
      <c r="A1" s="24"/>
      <c r="B1" s="24"/>
      <c r="C1" s="24"/>
      <c r="D1" s="24"/>
      <c r="E1" s="108"/>
      <c r="F1" s="108"/>
    </row>
    <row r="2" spans="1:8" s="16" customFormat="1" ht="18" customHeight="1">
      <c r="A2" s="194" t="s">
        <v>152</v>
      </c>
      <c r="B2" s="194"/>
      <c r="C2" s="194"/>
      <c r="D2" s="194"/>
      <c r="E2" s="109"/>
      <c r="F2" s="109"/>
      <c r="G2" s="109"/>
      <c r="H2" s="109"/>
    </row>
    <row r="3" spans="1:8" s="16" customFormat="1" ht="47.25" customHeight="1">
      <c r="A3" s="194"/>
      <c r="B3" s="194"/>
      <c r="C3" s="194"/>
      <c r="D3" s="194"/>
      <c r="E3" s="109"/>
      <c r="F3" s="109"/>
      <c r="G3" s="109"/>
      <c r="H3" s="109"/>
    </row>
    <row r="4" spans="1:8" ht="15" thickBot="1"/>
    <row r="5" spans="1:8" ht="15" thickBot="1">
      <c r="A5" s="16"/>
      <c r="B5" s="103" t="s">
        <v>137</v>
      </c>
      <c r="C5" s="104"/>
      <c r="D5" s="105"/>
    </row>
    <row r="6" spans="1:8" s="22" customFormat="1" ht="43.5">
      <c r="A6" s="16"/>
      <c r="B6" s="74" t="s">
        <v>185</v>
      </c>
      <c r="C6" s="150">
        <f>'Δεδομένα-Χειμώνας'!B54</f>
        <v>8435.7000000000007</v>
      </c>
      <c r="D6" s="76" t="s">
        <v>202</v>
      </c>
      <c r="F6" s="153" t="s">
        <v>184</v>
      </c>
    </row>
    <row r="7" spans="1:8" ht="30.75" customHeight="1" thickBot="1">
      <c r="A7" s="16"/>
      <c r="B7" s="68" t="s">
        <v>55</v>
      </c>
      <c r="C7" s="150">
        <f>'Δεδομένα-Χειμώνας'!B63</f>
        <v>6750</v>
      </c>
      <c r="D7" s="41" t="s">
        <v>87</v>
      </c>
    </row>
    <row r="8" spans="1:8" s="16" customFormat="1" ht="15.75" customHeight="1" thickBot="1">
      <c r="B8" s="106" t="s">
        <v>86</v>
      </c>
      <c r="C8" s="151">
        <f>SUM(C6:C7)</f>
        <v>15185.7</v>
      </c>
      <c r="D8" s="87" t="s">
        <v>87</v>
      </c>
      <c r="E8" s="22"/>
      <c r="F8" s="22"/>
      <c r="G8" s="22"/>
      <c r="H8" s="22"/>
    </row>
    <row r="9" spans="1:8" ht="15.75" customHeight="1" thickBot="1"/>
    <row r="10" spans="1:8" s="16" customFormat="1" ht="32.15" customHeight="1">
      <c r="B10" s="84" t="s">
        <v>125</v>
      </c>
      <c r="C10" s="66"/>
      <c r="D10" s="67"/>
      <c r="E10" s="22"/>
      <c r="F10" s="22"/>
      <c r="G10" s="22"/>
      <c r="H10" s="22"/>
    </row>
    <row r="11" spans="1:8" s="16" customFormat="1">
      <c r="B11" s="68" t="s">
        <v>186</v>
      </c>
      <c r="C11" s="122">
        <f>('Τύποι Παραγωγών-Χειμώνας'!C6+'Τύποι Παραγωγών-Χειμώνας'!C7+'Τύποι Παραγωγών-Χειμώνας'!C9)/('Δεδομένα-Χειμώνας'!B51*6)</f>
        <v>0.15925925925925927</v>
      </c>
      <c r="D11" s="41" t="s">
        <v>66</v>
      </c>
      <c r="E11" s="22"/>
      <c r="F11" s="22" t="s">
        <v>170</v>
      </c>
      <c r="G11" s="22"/>
      <c r="H11" s="22"/>
    </row>
    <row r="12" spans="1:8">
      <c r="B12" s="68" t="s">
        <v>63</v>
      </c>
      <c r="C12" s="130">
        <f>C11*C6/10000</f>
        <v>0.13434633333333337</v>
      </c>
      <c r="D12" s="41" t="s">
        <v>66</v>
      </c>
      <c r="F12" s="22" t="s">
        <v>191</v>
      </c>
    </row>
    <row r="13" spans="1:8" s="16" customFormat="1">
      <c r="B13" s="111" t="s">
        <v>145</v>
      </c>
      <c r="C13" s="133">
        <f>(IF(C11&gt;C12,C11,C12))</f>
        <v>0.15925925925925927</v>
      </c>
      <c r="D13" s="110" t="s">
        <v>66</v>
      </c>
      <c r="E13" s="22"/>
      <c r="F13" s="22"/>
      <c r="G13" s="22"/>
      <c r="H13" s="22"/>
    </row>
    <row r="14" spans="1:8" s="16" customFormat="1" ht="29">
      <c r="B14" s="85" t="s">
        <v>130</v>
      </c>
      <c r="C14" s="69"/>
      <c r="D14" s="70"/>
      <c r="E14" s="22"/>
      <c r="F14" s="22"/>
      <c r="G14" s="22"/>
      <c r="H14" s="22"/>
    </row>
    <row r="15" spans="1:8">
      <c r="B15" s="137" t="s">
        <v>187</v>
      </c>
      <c r="C15" s="122">
        <f>('Τύποι Παραγωγών-Χειμώνας'!C10/'Δεδομένα-Χειμώνας'!B58)</f>
        <v>1.6666666666666667</v>
      </c>
      <c r="D15" s="41" t="s">
        <v>66</v>
      </c>
    </row>
    <row r="16" spans="1:8" s="16" customFormat="1">
      <c r="B16" s="68" t="s">
        <v>68</v>
      </c>
      <c r="C16" s="122">
        <f>('Δεδομένα-Χειμώνας'!B10*'Δεδομένα-Χειμώνας'!B58)/'Δεδομένα-Χειμώνας'!B62</f>
        <v>0.67500000000000004</v>
      </c>
      <c r="D16" s="41" t="s">
        <v>66</v>
      </c>
      <c r="E16" s="22"/>
      <c r="F16" s="22"/>
      <c r="G16" s="22"/>
      <c r="H16" s="22"/>
    </row>
    <row r="17" spans="1:8" s="16" customFormat="1">
      <c r="B17" s="111" t="s">
        <v>146</v>
      </c>
      <c r="C17" s="133">
        <f>(IF(C15&gt;C16,C15,C16))</f>
        <v>1.6666666666666667</v>
      </c>
      <c r="D17" s="110" t="s">
        <v>66</v>
      </c>
      <c r="E17" s="22"/>
      <c r="F17" s="22"/>
      <c r="G17" s="22"/>
      <c r="H17" s="22"/>
    </row>
    <row r="18" spans="1:8" s="16" customFormat="1" ht="16" thickBot="1">
      <c r="B18" s="112" t="s">
        <v>141</v>
      </c>
      <c r="C18" s="131">
        <f>(IF(C11&gt;C12,C11,C12)+IF(C15&gt;C16,C15,C16))</f>
        <v>1.825925925925926</v>
      </c>
      <c r="D18" s="114" t="s">
        <v>66</v>
      </c>
      <c r="E18" s="22"/>
      <c r="F18" s="22"/>
      <c r="G18" s="22"/>
      <c r="H18" s="22"/>
    </row>
    <row r="19" spans="1:8" s="16" customFormat="1" ht="15" thickBot="1">
      <c r="E19" s="22"/>
      <c r="F19" s="22"/>
      <c r="G19" s="22"/>
      <c r="H19" s="22"/>
    </row>
    <row r="20" spans="1:8">
      <c r="B20" s="84" t="s">
        <v>140</v>
      </c>
      <c r="C20" s="66"/>
      <c r="D20" s="67"/>
    </row>
    <row r="21" spans="1:8" s="149" customFormat="1">
      <c r="B21" s="81" t="s">
        <v>192</v>
      </c>
      <c r="C21" s="132">
        <f>C17*'Δεδομένα-Χειμώνας'!B61</f>
        <v>1.6666666666666667</v>
      </c>
      <c r="D21" s="83" t="s">
        <v>104</v>
      </c>
      <c r="E21" s="22"/>
      <c r="F21" s="22"/>
      <c r="G21" s="22"/>
      <c r="H21" s="22"/>
    </row>
    <row r="22" spans="1:8" s="149" customFormat="1">
      <c r="B22" s="74" t="s">
        <v>189</v>
      </c>
      <c r="C22" s="155">
        <f>'Δεδομένα-Χειμώνας'!B59*'Αποτελέσματα-Χειμώνας'!C17</f>
        <v>0</v>
      </c>
      <c r="D22" s="76" t="s">
        <v>105</v>
      </c>
      <c r="E22" s="22"/>
      <c r="F22" s="22"/>
      <c r="G22" s="22"/>
      <c r="H22" s="22"/>
    </row>
    <row r="23" spans="1:8" s="16" customFormat="1">
      <c r="B23" s="81" t="s">
        <v>193</v>
      </c>
      <c r="C23" s="132">
        <f>'Δεδομένα-Χειμώνας'!B46*C13</f>
        <v>0.15925925925925927</v>
      </c>
      <c r="D23" s="83" t="s">
        <v>104</v>
      </c>
      <c r="E23" s="22"/>
      <c r="F23" s="22"/>
      <c r="G23" s="22"/>
      <c r="H23" s="22"/>
    </row>
    <row r="24" spans="1:8" s="16" customFormat="1">
      <c r="B24" s="74" t="s">
        <v>188</v>
      </c>
      <c r="C24" s="155">
        <f>'Δεδομένα-Χειμώνας'!B45*'Δεδομένα-Χειμώνας'!B53*C13</f>
        <v>0.31851851851851853</v>
      </c>
      <c r="D24" s="76" t="s">
        <v>105</v>
      </c>
      <c r="E24" s="22"/>
      <c r="F24" s="22"/>
      <c r="G24" s="22"/>
      <c r="H24" s="22"/>
    </row>
    <row r="25" spans="1:8" s="16" customFormat="1" ht="15" thickBot="1">
      <c r="B25" s="156" t="s">
        <v>77</v>
      </c>
      <c r="C25" s="157">
        <f>ROUNDUP((('Τύποι Παραγωγών-Χειμώνας'!C6+'Τύποι Παραγωγών-Χειμώνας'!C7+'Τύποι Παραγωγών-Χειμώνας'!C9+'Τύποι Παραγωγών-Χειμώνας'!C10)/'Δεδομένα-Χειμώνας'!B67),0)</f>
        <v>1</v>
      </c>
      <c r="D25" s="158" t="s">
        <v>78</v>
      </c>
      <c r="E25" s="22"/>
      <c r="F25" s="22"/>
      <c r="G25" s="22"/>
      <c r="H25" s="22"/>
    </row>
    <row r="26" spans="1:8" ht="15" thickBot="1"/>
    <row r="27" spans="1:8" ht="19" thickBot="1">
      <c r="A27" s="195" t="s">
        <v>128</v>
      </c>
      <c r="B27" s="196"/>
      <c r="C27" s="196"/>
      <c r="D27" s="197"/>
    </row>
    <row r="28" spans="1:8" s="16" customFormat="1" ht="15" thickBot="1">
      <c r="E28" s="22"/>
      <c r="F28" s="22"/>
      <c r="G28" s="22"/>
      <c r="H28" s="22"/>
    </row>
    <row r="29" spans="1:8" ht="34.75" customHeight="1" thickBot="1">
      <c r="A29" s="195" t="s">
        <v>144</v>
      </c>
      <c r="B29" s="196"/>
      <c r="C29" s="196"/>
      <c r="D29" s="197"/>
    </row>
    <row r="30" spans="1:8" ht="17.899999999999999" customHeight="1">
      <c r="A30" s="52"/>
      <c r="B30" s="53" t="s">
        <v>69</v>
      </c>
      <c r="C30" s="53">
        <f>((C21*'Δεδομένα-Χειμώνας'!B25+'Αποτελέσματα-Χειμώνας'!C22*'Δεδομένα-Χειμώνας'!B26))/2</f>
        <v>20000</v>
      </c>
      <c r="D30" s="54" t="s">
        <v>126</v>
      </c>
    </row>
    <row r="31" spans="1:8">
      <c r="A31" s="55"/>
      <c r="B31" s="56" t="s">
        <v>89</v>
      </c>
      <c r="C31" s="58">
        <f>(C17*'Δεδομένα-Χειμώνας'!B28*'Δεδομένα-Χειμώνας'!B29*'Δεδομένα-Χειμώνας'!B47*'Δεδομένα-Χειμώνας'!B48)/2</f>
        <v>7260.0000000000009</v>
      </c>
      <c r="D31" s="57" t="s">
        <v>126</v>
      </c>
    </row>
    <row r="32" spans="1:8">
      <c r="A32" s="52"/>
      <c r="B32" s="53" t="s">
        <v>90</v>
      </c>
      <c r="C32" s="53">
        <f>((C17*'Δεδομένα-Χειμώνας'!B22*'Δεδομένα-Χειμώνας'!B39))/2</f>
        <v>8333.3333333333339</v>
      </c>
      <c r="D32" s="54" t="s">
        <v>126</v>
      </c>
    </row>
    <row r="33" spans="1:8" s="16" customFormat="1">
      <c r="A33" s="55"/>
      <c r="B33" s="56" t="s">
        <v>91</v>
      </c>
      <c r="C33" s="58">
        <f>(C17*(SUM('Δεδομένα-Χειμώνας'!B32:B37)))/2</f>
        <v>2800</v>
      </c>
      <c r="D33" s="57" t="s">
        <v>126</v>
      </c>
      <c r="E33" s="22"/>
      <c r="F33" s="22"/>
      <c r="G33" s="22"/>
      <c r="H33" s="22"/>
    </row>
    <row r="34" spans="1:8" s="16" customFormat="1">
      <c r="A34" s="52"/>
      <c r="B34" s="53" t="s">
        <v>82</v>
      </c>
      <c r="C34" s="53">
        <f>((('Αποτελέσματα-Χειμώνας'!C7*275)/1000)*'Δεδομένα-Χειμώνας'!B70)/2</f>
        <v>18562.5</v>
      </c>
      <c r="D34" s="54" t="s">
        <v>126</v>
      </c>
      <c r="E34" s="21"/>
      <c r="F34" s="22"/>
      <c r="G34" s="22"/>
      <c r="H34" s="22"/>
    </row>
    <row r="35" spans="1:8" ht="15" thickBot="1">
      <c r="A35" s="55"/>
      <c r="B35" s="56" t="s">
        <v>81</v>
      </c>
      <c r="C35" s="58">
        <f>('Τύποι Παραγωγών-Χειμώνας'!C10*'Δεδομένα-Χειμώνας'!B72)/2</f>
        <v>375</v>
      </c>
      <c r="D35" s="57" t="s">
        <v>126</v>
      </c>
    </row>
    <row r="36" spans="1:8" ht="16" thickBot="1">
      <c r="A36" s="59"/>
      <c r="B36" s="60" t="s">
        <v>216</v>
      </c>
      <c r="C36" s="61">
        <f>SUM(C30:C35)</f>
        <v>57330.833333333336</v>
      </c>
      <c r="D36" s="62" t="s">
        <v>126</v>
      </c>
    </row>
    <row r="37" spans="1:8" s="141" customFormat="1" ht="16" thickBot="1">
      <c r="A37" s="59"/>
      <c r="B37" s="60" t="s">
        <v>217</v>
      </c>
      <c r="C37" s="61">
        <f>SUM(C30:C33)+C35</f>
        <v>38768.333333333336</v>
      </c>
      <c r="D37" s="62" t="s">
        <v>126</v>
      </c>
      <c r="E37" s="22"/>
      <c r="F37" s="22"/>
      <c r="G37" s="22"/>
      <c r="H37" s="22"/>
    </row>
    <row r="38" spans="1:8" s="141" customFormat="1" ht="16" thickBot="1">
      <c r="A38" s="59"/>
      <c r="B38" s="60" t="s">
        <v>218</v>
      </c>
      <c r="C38" s="61">
        <f>C36/'Τύποι Παραγωγών-Χειμώνας'!C10</f>
        <v>382.20555555555558</v>
      </c>
      <c r="D38" s="62" t="s">
        <v>143</v>
      </c>
      <c r="E38" s="22"/>
      <c r="F38" s="22"/>
      <c r="G38" s="22"/>
      <c r="H38" s="22"/>
    </row>
    <row r="39" spans="1:8" ht="16" thickBot="1">
      <c r="A39" s="59"/>
      <c r="B39" s="60" t="s">
        <v>219</v>
      </c>
      <c r="C39" s="61">
        <f>C37/'Τύποι Παραγωγών-Χειμώνας'!C10</f>
        <v>258.45555555555558</v>
      </c>
      <c r="D39" s="62" t="s">
        <v>143</v>
      </c>
    </row>
    <row r="40" spans="1:8" s="16" customFormat="1" ht="15" thickBot="1">
      <c r="E40" s="22"/>
      <c r="F40" s="22"/>
      <c r="G40" s="22"/>
      <c r="H40" s="22"/>
    </row>
    <row r="41" spans="1:8" ht="34.75" customHeight="1" thickBot="1">
      <c r="A41" s="198" t="s">
        <v>190</v>
      </c>
      <c r="B41" s="199"/>
      <c r="C41" s="199"/>
      <c r="D41" s="200"/>
    </row>
    <row r="42" spans="1:8" ht="21.65" customHeight="1">
      <c r="A42" s="52"/>
      <c r="B42" s="53" t="s">
        <v>69</v>
      </c>
      <c r="C42" s="53">
        <f>('Αποτελέσματα-Χειμώνας'!C23*'Δεδομένα-Χειμώνας'!B25+'Δεδομένα-Χειμώνας'!B26*'Αποτελέσματα-Χειμώνας'!C24)/2</f>
        <v>3981.4814814814818</v>
      </c>
      <c r="D42" s="54" t="s">
        <v>126</v>
      </c>
    </row>
    <row r="43" spans="1:8" s="16" customFormat="1" ht="21.65" customHeight="1">
      <c r="A43" s="55"/>
      <c r="B43" s="56" t="s">
        <v>89</v>
      </c>
      <c r="C43" s="58">
        <f>(C13*'Δεδομένα-Χειμώνας'!B28*'Δεδομένα-Χειμώνας'!B29*'Δεδομένα-Χειμώνας'!B47*'Δεδομένα-Χειμώνας'!B48)/2</f>
        <v>693.73333333333335</v>
      </c>
      <c r="D43" s="57" t="s">
        <v>126</v>
      </c>
      <c r="E43" s="22"/>
      <c r="F43" s="22"/>
      <c r="G43" s="22"/>
      <c r="H43" s="22"/>
    </row>
    <row r="44" spans="1:8" s="16" customFormat="1" ht="21.65" customHeight="1">
      <c r="A44" s="52"/>
      <c r="B44" s="53" t="s">
        <v>90</v>
      </c>
      <c r="C44" s="53">
        <f>(C13*'Δεδομένα-Χειμώνας'!B22*'Δεδομένα-Χειμώνας'!B39)/2</f>
        <v>796.29629629629642</v>
      </c>
      <c r="D44" s="54" t="s">
        <v>126</v>
      </c>
      <c r="E44" s="22"/>
      <c r="F44" s="22"/>
      <c r="G44" s="22"/>
      <c r="H44" s="22"/>
    </row>
    <row r="45" spans="1:8" s="22" customFormat="1">
      <c r="A45" s="55"/>
      <c r="B45" s="56" t="s">
        <v>91</v>
      </c>
      <c r="C45" s="58">
        <f>(C13*(SUM('Δεδομένα-Χειμώνας'!B32:B37)))/2</f>
        <v>267.55555555555554</v>
      </c>
      <c r="D45" s="57" t="s">
        <v>126</v>
      </c>
    </row>
    <row r="46" spans="1:8" s="22" customFormat="1">
      <c r="A46" s="52"/>
      <c r="B46" s="53" t="s">
        <v>82</v>
      </c>
      <c r="C46" s="53">
        <f>(((('Αποτελέσματα-Χειμώνας'!C6*137/1000))/6)*'Δεδομένα-Χειμώνας'!B70)</f>
        <v>3852.3029999999999</v>
      </c>
      <c r="D46" s="54" t="s">
        <v>126</v>
      </c>
    </row>
    <row r="47" spans="1:8" ht="15" thickBot="1">
      <c r="A47" s="55"/>
      <c r="B47" s="56" t="s">
        <v>81</v>
      </c>
      <c r="C47" s="58">
        <f>(('Τύποι Παραγωγών-Χειμώνας'!C6+'Τύποι Παραγωγών-Χειμώνας'!C7+'Τύποι Παραγωγών-Χειμώνας'!C9)*'Δεδομένα-Χειμώνας'!B72)/2</f>
        <v>2580</v>
      </c>
      <c r="D47" s="57" t="s">
        <v>126</v>
      </c>
    </row>
    <row r="48" spans="1:8" ht="16" thickBot="1">
      <c r="A48" s="59"/>
      <c r="B48" s="60" t="s">
        <v>220</v>
      </c>
      <c r="C48" s="61">
        <f>SUM(C42:C47)</f>
        <v>12171.369666666667</v>
      </c>
      <c r="D48" s="62" t="s">
        <v>126</v>
      </c>
    </row>
    <row r="49" spans="1:8" s="16" customFormat="1" ht="16" thickBot="1">
      <c r="A49" s="59"/>
      <c r="B49" s="60" t="s">
        <v>221</v>
      </c>
      <c r="C49" s="61">
        <f>SUM(C42:C45)+C47</f>
        <v>8319.0666666666675</v>
      </c>
      <c r="D49" s="62" t="s">
        <v>126</v>
      </c>
      <c r="E49" s="22"/>
      <c r="F49" s="22"/>
      <c r="G49" s="22"/>
      <c r="H49" s="22"/>
    </row>
    <row r="50" spans="1:8" ht="31.5" thickBot="1">
      <c r="A50" s="59"/>
      <c r="B50" s="60" t="s">
        <v>222</v>
      </c>
      <c r="C50" s="61">
        <f>C48/(('Τύποι Παραγωγών-Χειμώνας'!C6+'Τύποι Παραγωγών-Χειμώνας'!C8+'Τύποι Παραγωγών-Χειμώνας'!C9))</f>
        <v>10.886734943351223</v>
      </c>
      <c r="D50" s="62" t="s">
        <v>142</v>
      </c>
    </row>
    <row r="51" spans="1:8" ht="31.5" thickBot="1">
      <c r="A51" s="59"/>
      <c r="B51" s="60" t="s">
        <v>212</v>
      </c>
      <c r="C51" s="61">
        <f>C49/(('Τύποι Παραγωγών-Χειμώνας'!C6+'Τύποι Παραγωγών-Χειμώνας'!C8+'Τύποι Παραγωγών-Χειμώνας'!C9))</f>
        <v>7.4410256410256421</v>
      </c>
      <c r="D51" s="62" t="s">
        <v>142</v>
      </c>
    </row>
    <row r="52" spans="1:8" s="16" customFormat="1">
      <c r="E52" s="22"/>
      <c r="F52" s="22"/>
      <c r="G52" s="22"/>
      <c r="H52" s="22"/>
    </row>
    <row r="55" spans="1:8" ht="15" thickBot="1"/>
    <row r="56" spans="1:8" s="22" customFormat="1" ht="16" thickBot="1">
      <c r="A56" s="97"/>
      <c r="B56" s="98"/>
      <c r="C56" s="99"/>
      <c r="D56" s="100"/>
    </row>
    <row r="61" spans="1:8" ht="15" customHeight="1"/>
    <row r="62" spans="1:8" s="16" customFormat="1">
      <c r="E62" s="22" t="s">
        <v>127</v>
      </c>
      <c r="F62" s="22"/>
      <c r="G62" s="22"/>
      <c r="H62" s="22"/>
    </row>
    <row r="63" spans="1:8" s="16" customFormat="1">
      <c r="E63" s="22"/>
      <c r="F63" s="22"/>
      <c r="G63" s="22"/>
      <c r="H63" s="22"/>
    </row>
    <row r="64" spans="1:8" s="16" customFormat="1">
      <c r="E64" s="22"/>
      <c r="F64" s="22"/>
      <c r="G64" s="22"/>
      <c r="H64" s="22"/>
    </row>
    <row r="65" spans="5:8" s="16" customFormat="1">
      <c r="E65" s="22"/>
      <c r="F65" s="22"/>
      <c r="G65" s="22"/>
      <c r="H65" s="22"/>
    </row>
  </sheetData>
  <mergeCells count="4">
    <mergeCell ref="A27:D27"/>
    <mergeCell ref="A29:D29"/>
    <mergeCell ref="A2:D3"/>
    <mergeCell ref="A41:D4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H62"/>
  <sheetViews>
    <sheetView zoomScaleNormal="100" workbookViewId="0">
      <selection activeCell="D51" sqref="D51"/>
    </sheetView>
  </sheetViews>
  <sheetFormatPr defaultColWidth="9.453125" defaultRowHeight="14.5"/>
  <cols>
    <col min="1" max="1" width="1.453125" style="16" customWidth="1"/>
    <col min="2" max="2" width="79.54296875" style="16" customWidth="1"/>
    <col min="3" max="3" width="15.54296875" style="16" bestFit="1" customWidth="1"/>
    <col min="4" max="4" width="35.453125" style="16" bestFit="1" customWidth="1"/>
    <col min="5" max="5" width="4.453125" style="22" customWidth="1"/>
    <col min="6" max="6" width="82.453125" style="22" customWidth="1"/>
    <col min="7" max="7" width="9.453125" style="22"/>
    <col min="8" max="8" width="9.54296875" style="22" customWidth="1"/>
    <col min="9" max="16384" width="9.453125" style="16"/>
  </cols>
  <sheetData>
    <row r="1" spans="1:8" ht="18.5">
      <c r="A1" s="24"/>
      <c r="B1" s="24"/>
      <c r="C1" s="24"/>
      <c r="D1" s="24"/>
      <c r="E1" s="108"/>
      <c r="F1" s="108"/>
    </row>
    <row r="2" spans="1:8" ht="18" customHeight="1">
      <c r="A2" s="194" t="s">
        <v>153</v>
      </c>
      <c r="B2" s="194"/>
      <c r="C2" s="194"/>
      <c r="D2" s="194"/>
      <c r="E2" s="109"/>
      <c r="F2" s="109"/>
      <c r="G2" s="109"/>
      <c r="H2" s="109"/>
    </row>
    <row r="3" spans="1:8" ht="45.75" customHeight="1">
      <c r="A3" s="194"/>
      <c r="B3" s="194"/>
      <c r="C3" s="194"/>
      <c r="D3" s="194"/>
      <c r="E3" s="109"/>
      <c r="F3" s="109"/>
      <c r="G3" s="109"/>
      <c r="H3" s="109"/>
    </row>
    <row r="4" spans="1:8" ht="15" thickBot="1"/>
    <row r="5" spans="1:8" ht="15" thickBot="1">
      <c r="B5" s="103" t="s">
        <v>138</v>
      </c>
      <c r="C5" s="104"/>
      <c r="D5" s="105"/>
    </row>
    <row r="6" spans="1:8" s="22" customFormat="1" ht="43.5">
      <c r="A6" s="16"/>
      <c r="B6" s="74" t="s">
        <v>185</v>
      </c>
      <c r="C6" s="150">
        <f>'Δεδομένα-Καλοκαίρι'!B54</f>
        <v>5937.0171428571421</v>
      </c>
      <c r="D6" s="76" t="s">
        <v>194</v>
      </c>
      <c r="F6" s="153" t="s">
        <v>184</v>
      </c>
    </row>
    <row r="7" spans="1:8" ht="29.5" thickBot="1">
      <c r="B7" s="68" t="s">
        <v>55</v>
      </c>
      <c r="C7" s="150">
        <f>'Δεδομένα-Καλοκαίρι'!B63</f>
        <v>6750</v>
      </c>
      <c r="D7" s="41" t="s">
        <v>87</v>
      </c>
    </row>
    <row r="8" spans="1:8" ht="24.65" customHeight="1" thickBot="1">
      <c r="B8" s="106" t="s">
        <v>86</v>
      </c>
      <c r="C8" s="86">
        <f>SUM(C6:C7)</f>
        <v>12687.017142857141</v>
      </c>
      <c r="D8" s="87" t="s">
        <v>87</v>
      </c>
    </row>
    <row r="9" spans="1:8" ht="15.75" customHeight="1" thickBot="1"/>
    <row r="10" spans="1:8" ht="32.15" customHeight="1">
      <c r="B10" s="84" t="s">
        <v>115</v>
      </c>
      <c r="C10" s="66"/>
      <c r="D10" s="67"/>
      <c r="F10" s="21"/>
    </row>
    <row r="11" spans="1:8">
      <c r="B11" s="68" t="s">
        <v>64</v>
      </c>
      <c r="C11" s="122">
        <f>('Τύποι Παραγωγών-Καλοκαίρι'!C6+'Τύποι Παραγωγών-Καλοκαίρι'!C7+'Τύποι Παραγωγών-Καλοκαίρι'!C9)*2/('Δεδομένα-Καλοκαίρι'!B51*6)</f>
        <v>0.31851851851851853</v>
      </c>
      <c r="D11" s="41" t="s">
        <v>66</v>
      </c>
      <c r="F11" s="22" t="s">
        <v>161</v>
      </c>
    </row>
    <row r="12" spans="1:8">
      <c r="B12" s="68" t="s">
        <v>63</v>
      </c>
      <c r="C12" s="130">
        <f>(C11*C6)/10000</f>
        <v>0.18910499047619045</v>
      </c>
      <c r="D12" s="41" t="s">
        <v>66</v>
      </c>
      <c r="F12" s="138"/>
    </row>
    <row r="13" spans="1:8">
      <c r="B13" s="111" t="s">
        <v>145</v>
      </c>
      <c r="C13" s="133">
        <f>(IF(C11&gt;C12,C11,C12))</f>
        <v>0.31851851851851853</v>
      </c>
      <c r="D13" s="110" t="s">
        <v>66</v>
      </c>
    </row>
    <row r="14" spans="1:8" ht="29">
      <c r="B14" s="85" t="s">
        <v>147</v>
      </c>
      <c r="C14" s="69"/>
      <c r="D14" s="70"/>
    </row>
    <row r="15" spans="1:8">
      <c r="B15" s="68" t="s">
        <v>65</v>
      </c>
      <c r="C15" s="122">
        <f>('Τύποι Παραγωγών-Καλοκαίρι'!C10/'Δεδομένα-Καλοκαίρι'!B58)</f>
        <v>3.3333333333333335</v>
      </c>
      <c r="D15" s="41" t="s">
        <v>66</v>
      </c>
    </row>
    <row r="16" spans="1:8">
      <c r="B16" s="68" t="s">
        <v>68</v>
      </c>
      <c r="C16" s="122">
        <f>('Δεδομένα-Καλοκαίρι'!B10*'Δεδομένα-Καλοκαίρι'!B58)/'Δεδομένα-Καλοκαίρι'!B62</f>
        <v>0.67500000000000004</v>
      </c>
      <c r="D16" s="41" t="s">
        <v>66</v>
      </c>
    </row>
    <row r="17" spans="1:8">
      <c r="B17" s="111" t="s">
        <v>146</v>
      </c>
      <c r="C17" s="133">
        <f>(IF(C15&gt;C16,C15,C16))</f>
        <v>3.3333333333333335</v>
      </c>
      <c r="D17" s="110" t="s">
        <v>66</v>
      </c>
    </row>
    <row r="18" spans="1:8" ht="16" thickBot="1">
      <c r="B18" s="112" t="s">
        <v>148</v>
      </c>
      <c r="C18" s="113">
        <f>C13+C17</f>
        <v>3.6518518518518519</v>
      </c>
      <c r="D18" s="114" t="s">
        <v>66</v>
      </c>
    </row>
    <row r="19" spans="1:8" ht="15" thickBot="1"/>
    <row r="20" spans="1:8">
      <c r="B20" s="84" t="s">
        <v>149</v>
      </c>
      <c r="C20" s="66"/>
      <c r="D20" s="67"/>
    </row>
    <row r="21" spans="1:8" s="149" customFormat="1">
      <c r="B21" s="81" t="s">
        <v>192</v>
      </c>
      <c r="C21" s="107">
        <f>C17*'Δεδομένα-Καλοκαίρι'!B61</f>
        <v>3.3333333333333335</v>
      </c>
      <c r="D21" s="83" t="s">
        <v>104</v>
      </c>
      <c r="E21" s="22"/>
      <c r="F21" s="22"/>
      <c r="G21" s="22"/>
      <c r="H21" s="22"/>
    </row>
    <row r="22" spans="1:8" s="149" customFormat="1">
      <c r="B22" s="74" t="s">
        <v>189</v>
      </c>
      <c r="C22" s="130">
        <f>'Δεδομένα-Καλοκαίρι'!B59*'Αποτελέσματα-Καλοκαίρι'!C17</f>
        <v>0</v>
      </c>
      <c r="D22" s="76" t="s">
        <v>105</v>
      </c>
      <c r="E22" s="22"/>
      <c r="F22" s="22"/>
      <c r="G22" s="22"/>
      <c r="H22" s="22"/>
    </row>
    <row r="23" spans="1:8" s="149" customFormat="1">
      <c r="B23" s="81" t="s">
        <v>193</v>
      </c>
      <c r="C23" s="107">
        <f>'Δεδομένα-Καλοκαίρι'!B46*C13</f>
        <v>0.31851851851851853</v>
      </c>
      <c r="D23" s="83" t="s">
        <v>104</v>
      </c>
      <c r="E23" s="22"/>
      <c r="F23" s="22"/>
      <c r="G23" s="22"/>
      <c r="H23" s="22"/>
    </row>
    <row r="24" spans="1:8" s="149" customFormat="1">
      <c r="B24" s="74" t="s">
        <v>188</v>
      </c>
      <c r="C24" s="130">
        <f>'Δεδομένα-Καλοκαίρι'!B45*'Δεδομένα-Καλοκαίρι'!B53*C13</f>
        <v>0.63703703703703707</v>
      </c>
      <c r="D24" s="76" t="s">
        <v>105</v>
      </c>
      <c r="E24" s="22"/>
      <c r="F24" s="22"/>
      <c r="G24" s="22"/>
      <c r="H24" s="22"/>
    </row>
    <row r="25" spans="1:8" s="149" customFormat="1" ht="15" thickBot="1">
      <c r="B25" s="156" t="s">
        <v>77</v>
      </c>
      <c r="C25" s="169">
        <f>ROUNDUP((('Τύποι Παραγωγών-Καλοκαίρι'!C6+'Τύποι Παραγωγών-Καλοκαίρι'!C7+'Τύποι Παραγωγών-Καλοκαίρι'!C9+'Τύποι Παραγωγών-Καλοκαίρι'!C10)/'Δεδομένα-Καλοκαίρι'!B67),0)</f>
        <v>1</v>
      </c>
      <c r="D25" s="158" t="s">
        <v>78</v>
      </c>
      <c r="E25" s="22"/>
      <c r="F25" s="22"/>
      <c r="G25" s="22"/>
      <c r="H25" s="22"/>
    </row>
    <row r="26" spans="1:8" ht="15" thickBot="1"/>
    <row r="27" spans="1:8" s="149" customFormat="1" ht="19" thickBot="1">
      <c r="A27" s="195" t="s">
        <v>128</v>
      </c>
      <c r="B27" s="196"/>
      <c r="C27" s="196"/>
      <c r="D27" s="197"/>
      <c r="E27" s="22"/>
      <c r="F27" s="22"/>
      <c r="G27" s="22"/>
      <c r="H27" s="22"/>
    </row>
    <row r="28" spans="1:8" s="149" customFormat="1" ht="19" thickBot="1">
      <c r="A28" s="171"/>
      <c r="B28" s="172"/>
      <c r="C28" s="172"/>
      <c r="D28" s="173"/>
      <c r="E28" s="22"/>
      <c r="F28" s="22"/>
      <c r="G28" s="22"/>
      <c r="H28" s="22"/>
    </row>
    <row r="29" spans="1:8" ht="18.75" customHeight="1" thickBot="1">
      <c r="A29" s="195" t="s">
        <v>150</v>
      </c>
      <c r="B29" s="196"/>
      <c r="C29" s="196"/>
      <c r="D29" s="197"/>
    </row>
    <row r="30" spans="1:8" ht="17.899999999999999" customHeight="1">
      <c r="A30" s="52"/>
      <c r="B30" s="53" t="s">
        <v>69</v>
      </c>
      <c r="C30" s="53">
        <f>((C21*'Δεδομένα-Καλοκαίρι'!B25+'Αποτελέσματα-Καλοκαίρι'!C22*'Δεδομένα-Καλοκαίρι'!B26))/2</f>
        <v>40000</v>
      </c>
      <c r="D30" s="54" t="s">
        <v>126</v>
      </c>
    </row>
    <row r="31" spans="1:8">
      <c r="A31" s="55"/>
      <c r="B31" s="56" t="s">
        <v>89</v>
      </c>
      <c r="C31" s="58">
        <f>(C17*'Δεδομένα-Καλοκαίρι'!B28*'Δεδομένα-Καλοκαίρι'!B29*'Δεδομένα-Καλοκαίρι'!B47*'Δεδομένα-Καλοκαίρι'!B48)/2</f>
        <v>14520.000000000002</v>
      </c>
      <c r="D31" s="57" t="s">
        <v>126</v>
      </c>
    </row>
    <row r="32" spans="1:8">
      <c r="A32" s="52"/>
      <c r="B32" s="53" t="s">
        <v>90</v>
      </c>
      <c r="C32" s="53">
        <f>((C17*'Δεδομένα-Καλοκαίρι'!B22*'Δεδομένα-Καλοκαίρι'!B39))/2</f>
        <v>16666.666666666668</v>
      </c>
      <c r="D32" s="54" t="s">
        <v>126</v>
      </c>
    </row>
    <row r="33" spans="1:8">
      <c r="A33" s="55"/>
      <c r="B33" s="56" t="s">
        <v>91</v>
      </c>
      <c r="C33" s="58">
        <f>(C17*(SUM('Δεδομένα-Καλοκαίρι'!B32:B37)))/2</f>
        <v>5600</v>
      </c>
      <c r="D33" s="57" t="s">
        <v>126</v>
      </c>
    </row>
    <row r="34" spans="1:8">
      <c r="A34" s="52"/>
      <c r="B34" s="53" t="s">
        <v>82</v>
      </c>
      <c r="C34" s="53">
        <f>((('Αποτελέσματα-Καλοκαίρι'!C7*275)/1000)*'Δεδομένα-Καλοκαίρι'!B70)/2</f>
        <v>18562.5</v>
      </c>
      <c r="D34" s="54" t="s">
        <v>126</v>
      </c>
      <c r="E34" s="21"/>
    </row>
    <row r="35" spans="1:8" ht="15" thickBot="1">
      <c r="A35" s="55"/>
      <c r="B35" s="56" t="s">
        <v>81</v>
      </c>
      <c r="C35" s="58">
        <f>('Τύποι Παραγωγών-Καλοκαίρι'!C10*'Δεδομένα-Καλοκαίρι'!B72)/2</f>
        <v>750</v>
      </c>
      <c r="D35" s="57" t="s">
        <v>126</v>
      </c>
    </row>
    <row r="36" spans="1:8" ht="16" thickBot="1">
      <c r="A36" s="59"/>
      <c r="B36" s="60" t="s">
        <v>172</v>
      </c>
      <c r="C36" s="61">
        <f>SUM(C30:C35)</f>
        <v>96099.166666666672</v>
      </c>
      <c r="D36" s="62" t="s">
        <v>126</v>
      </c>
    </row>
    <row r="37" spans="1:8" s="145" customFormat="1" ht="16" thickBot="1">
      <c r="A37" s="59"/>
      <c r="B37" s="60" t="s">
        <v>214</v>
      </c>
      <c r="C37" s="61">
        <f>SUM(C30:C33)+C35</f>
        <v>77536.666666666672</v>
      </c>
      <c r="D37" s="62" t="s">
        <v>126</v>
      </c>
      <c r="E37" s="22"/>
      <c r="F37" s="22"/>
      <c r="G37" s="22"/>
      <c r="H37" s="22"/>
    </row>
    <row r="38" spans="1:8" s="145" customFormat="1" ht="16" thickBot="1">
      <c r="A38" s="59"/>
      <c r="B38" s="60" t="s">
        <v>173</v>
      </c>
      <c r="C38" s="61">
        <f>C36/'Τύποι Παραγωγών-Καλοκαίρι'!C10</f>
        <v>320.33055555555558</v>
      </c>
      <c r="D38" s="62" t="s">
        <v>143</v>
      </c>
      <c r="E38" s="22"/>
      <c r="F38" s="22"/>
      <c r="G38" s="22"/>
      <c r="H38" s="22"/>
    </row>
    <row r="39" spans="1:8" ht="16" thickBot="1">
      <c r="A39" s="59"/>
      <c r="B39" s="60" t="s">
        <v>213</v>
      </c>
      <c r="C39" s="61">
        <f>C37/'Τύποι Παραγωγών-Καλοκαίρι'!C10</f>
        <v>258.45555555555558</v>
      </c>
      <c r="D39" s="62" t="s">
        <v>143</v>
      </c>
    </row>
    <row r="40" spans="1:8" ht="15" thickBot="1"/>
    <row r="41" spans="1:8" ht="19" thickBot="1">
      <c r="A41" s="195" t="s">
        <v>151</v>
      </c>
      <c r="B41" s="196"/>
      <c r="C41" s="196"/>
      <c r="D41" s="197"/>
    </row>
    <row r="42" spans="1:8">
      <c r="A42" s="52"/>
      <c r="B42" s="53" t="s">
        <v>69</v>
      </c>
      <c r="C42" s="53">
        <f>('Αποτελέσματα-Καλοκαίρι'!C23*'Δεδομένα-Καλοκαίρι'!B25+'Δεδομένα-Καλοκαίρι'!B26*'Αποτελέσματα-Καλοκαίρι'!C24)/2</f>
        <v>7962.9629629629635</v>
      </c>
      <c r="D42" s="54" t="s">
        <v>126</v>
      </c>
    </row>
    <row r="43" spans="1:8">
      <c r="A43" s="55"/>
      <c r="B43" s="56" t="s">
        <v>89</v>
      </c>
      <c r="C43" s="170">
        <f>(C13*'Δεδομένα-Καλοκαίρι'!B28*'Δεδομένα-Καλοκαίρι'!B29*'Δεδομένα-Καλοκαίρι'!B47*'Δεδομένα-Καλοκαίρι'!B48)/2</f>
        <v>1387.4666666666667</v>
      </c>
      <c r="D43" s="57" t="s">
        <v>126</v>
      </c>
    </row>
    <row r="44" spans="1:8">
      <c r="A44" s="52"/>
      <c r="B44" s="53" t="s">
        <v>90</v>
      </c>
      <c r="C44" s="53">
        <f>(C13*'Δεδομένα-Καλοκαίρι'!B22*'Δεδομένα-Καλοκαίρι'!B39)/2</f>
        <v>1592.5925925925928</v>
      </c>
      <c r="D44" s="54" t="s">
        <v>126</v>
      </c>
    </row>
    <row r="45" spans="1:8" s="22" customFormat="1">
      <c r="A45" s="55"/>
      <c r="B45" s="56" t="s">
        <v>91</v>
      </c>
      <c r="C45" s="58">
        <f>(C13*(SUM('Δεδομένα-Καλοκαίρι'!B32:B37)))/2</f>
        <v>535.11111111111109</v>
      </c>
      <c r="D45" s="57" t="s">
        <v>126</v>
      </c>
    </row>
    <row r="46" spans="1:8" s="22" customFormat="1">
      <c r="A46" s="52"/>
      <c r="B46" s="53" t="s">
        <v>82</v>
      </c>
      <c r="C46" s="53">
        <f>(((('Αποτελέσματα-Καλοκαίρι'!C6*275)/1000))/3.5*'Δεδομένα-Καλοκαίρι'!B70)/2</f>
        <v>4664.7991836734682</v>
      </c>
      <c r="D46" s="54" t="s">
        <v>126</v>
      </c>
    </row>
    <row r="47" spans="1:8" ht="15" thickBot="1">
      <c r="A47" s="55"/>
      <c r="B47" s="56" t="s">
        <v>81</v>
      </c>
      <c r="C47" s="58">
        <f>(('Τύποι Παραγωγών-Καλοκαίρι'!C6+'Τύποι Παραγωγών-Καλοκαίρι'!C7+'Τύποι Παραγωγών-Καλοκαίρι'!C9)*'Δεδομένα-Καλοκαίρι'!B72)/2</f>
        <v>2580</v>
      </c>
      <c r="D47" s="57" t="s">
        <v>126</v>
      </c>
    </row>
    <row r="48" spans="1:8" ht="16" thickBot="1">
      <c r="A48" s="59"/>
      <c r="B48" s="60" t="s">
        <v>171</v>
      </c>
      <c r="C48" s="61">
        <f>SUM(C42:C47)</f>
        <v>18722.932517006804</v>
      </c>
      <c r="D48" s="62" t="s">
        <v>126</v>
      </c>
    </row>
    <row r="49" spans="1:8" s="141" customFormat="1" ht="16" thickBot="1">
      <c r="A49" s="59"/>
      <c r="B49" s="60" t="s">
        <v>215</v>
      </c>
      <c r="C49" s="61">
        <f>SUM(C42:C45)+C47</f>
        <v>14058.133333333335</v>
      </c>
      <c r="D49" s="62" t="s">
        <v>126</v>
      </c>
      <c r="E49" s="22"/>
      <c r="F49" s="22"/>
      <c r="G49" s="22"/>
      <c r="H49" s="22"/>
    </row>
    <row r="50" spans="1:8" ht="31.5" thickBot="1">
      <c r="A50" s="59"/>
      <c r="B50" s="60" t="s">
        <v>223</v>
      </c>
      <c r="C50" s="61">
        <f>C48/(('Τύποι Παραγωγών-Καλοκαίρι'!C6+'Τύποι Παραγωγών-Καλοκαίρι'!C8+'Τύποι Παραγωγών-Καλοκαίρι'!C9))</f>
        <v>16.746809049201076</v>
      </c>
      <c r="D50" s="62" t="s">
        <v>142</v>
      </c>
    </row>
    <row r="51" spans="1:8" ht="31.5" thickBot="1">
      <c r="B51" s="60" t="s">
        <v>212</v>
      </c>
      <c r="C51" s="61">
        <f>C49/(('Τύποι Παραγωγών-Καλοκαίρι'!C6+'Τύποι Παραγωγών-Καλοκαίρι'!C8+'Τύποι Παραγωγών-Καλοκαίρι'!C9))</f>
        <v>12.574358974358976</v>
      </c>
      <c r="D51" s="62" t="s">
        <v>142</v>
      </c>
    </row>
    <row r="56" spans="1:8" ht="15" thickBot="1"/>
    <row r="57" spans="1:8" s="22" customFormat="1" ht="16" thickBot="1">
      <c r="A57" s="97"/>
      <c r="B57" s="98"/>
      <c r="C57" s="99"/>
      <c r="D57" s="100"/>
    </row>
    <row r="62" spans="1:8" ht="15" customHeight="1"/>
  </sheetData>
  <mergeCells count="4">
    <mergeCell ref="A2:D3"/>
    <mergeCell ref="A29:D29"/>
    <mergeCell ref="A41:D41"/>
    <mergeCell ref="A27:D2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B2:K33"/>
  <sheetViews>
    <sheetView topLeftCell="B1" workbookViewId="0">
      <selection activeCell="C32" sqref="C32"/>
    </sheetView>
  </sheetViews>
  <sheetFormatPr defaultRowHeight="14.5"/>
  <cols>
    <col min="1" max="2" width="2.453125" customWidth="1"/>
    <col min="3" max="3" width="76.453125" bestFit="1" customWidth="1"/>
    <col min="4" max="4" width="22" customWidth="1"/>
    <col min="5" max="5" width="46.54296875" bestFit="1" customWidth="1"/>
    <col min="6" max="6" width="4.1796875" customWidth="1"/>
    <col min="7" max="7" width="82.54296875" customWidth="1"/>
  </cols>
  <sheetData>
    <row r="2" spans="2:11" ht="18.5">
      <c r="B2" s="203" t="s">
        <v>154</v>
      </c>
      <c r="C2" s="203"/>
      <c r="D2" s="203"/>
      <c r="E2" s="203"/>
    </row>
    <row r="3" spans="2:11" ht="15" thickBot="1">
      <c r="B3" s="16"/>
      <c r="C3" s="16"/>
      <c r="D3" s="16"/>
      <c r="E3" s="16"/>
    </row>
    <row r="4" spans="2:11" ht="19" thickBot="1">
      <c r="B4" s="176" t="s">
        <v>40</v>
      </c>
      <c r="C4" s="177"/>
      <c r="D4" s="177" t="s">
        <v>204</v>
      </c>
      <c r="E4" s="185" t="s">
        <v>205</v>
      </c>
      <c r="G4" s="201" t="s">
        <v>207</v>
      </c>
      <c r="H4" s="202"/>
      <c r="I4" s="202"/>
      <c r="J4" s="202"/>
      <c r="K4" s="202"/>
    </row>
    <row r="5" spans="2:11" ht="30.75" customHeight="1" thickBot="1">
      <c r="B5" s="210" t="s">
        <v>47</v>
      </c>
      <c r="C5" s="211"/>
      <c r="D5" s="211"/>
      <c r="E5" s="212"/>
      <c r="G5" s="84" t="s">
        <v>206</v>
      </c>
      <c r="H5" s="213" t="s">
        <v>204</v>
      </c>
      <c r="I5" s="214"/>
      <c r="J5" s="213" t="s">
        <v>205</v>
      </c>
      <c r="K5" s="214"/>
    </row>
    <row r="6" spans="2:11" ht="15.75" customHeight="1">
      <c r="B6" s="46"/>
      <c r="C6" s="43" t="s">
        <v>44</v>
      </c>
      <c r="D6" s="50">
        <f>('Τύποι Παραγωγών-Χειμώνας'!C6+'Τύποι Παραγωγών-Χειμώνας'!C8)*'Δεδομένα-Χειμώνας'!B12</f>
        <v>2200</v>
      </c>
      <c r="E6" s="181">
        <f>('Τύποι Παραγωγών-Καλοκαίρι'!C6+'Τύποι Παραγωγών-Καλοκαίρι'!C8)*'Δεδομένα-Καλοκαίρι'!B12</f>
        <v>2200</v>
      </c>
      <c r="G6" s="71" t="s">
        <v>95</v>
      </c>
      <c r="H6" s="178">
        <f>'Τύποι Παραγωγών-Χειμώνας'!C6+'Τύποι Παραγωγών-Χειμώνας'!C8</f>
        <v>1100</v>
      </c>
      <c r="I6" s="73" t="s">
        <v>102</v>
      </c>
      <c r="J6" s="72">
        <f>'Τύποι Παραγωγών-Καλοκαίρι'!C6+'Τύποι Παραγωγών-Καλοκαίρι'!C8</f>
        <v>1100</v>
      </c>
      <c r="K6" s="73" t="s">
        <v>102</v>
      </c>
    </row>
    <row r="7" spans="2:11">
      <c r="B7" s="47"/>
      <c r="C7" s="42" t="s">
        <v>43</v>
      </c>
      <c r="D7" s="51">
        <f>('Τύποι Παραγωγών-Χειμώνας'!C6*'Δεδομένα-Χειμώνας'!B14)+('Τύποι Παραγωγών-Χειμώνας'!C7*'Δεδομένα-Χειμώνας'!B15)</f>
        <v>15630</v>
      </c>
      <c r="E7" s="182">
        <f>('Τύποι Παραγωγών-Καλοκαίρι'!C6*'Δεδομένα-Καλοκαίρι'!B14)+('Τύποι Παραγωγών-Καλοκαίρι'!C7*'Δεδομένα-Καλοκαίρι'!B15)</f>
        <v>15630</v>
      </c>
      <c r="G7" s="81" t="s">
        <v>97</v>
      </c>
      <c r="H7" s="179">
        <f>'Τύποι Παραγωγών-Χειμώνας'!C6</f>
        <v>1000</v>
      </c>
      <c r="I7" s="83" t="s">
        <v>102</v>
      </c>
      <c r="J7" s="82">
        <f>'Τύποι Παραγωγών-Καλοκαίρι'!C6</f>
        <v>1000</v>
      </c>
      <c r="K7" s="83" t="s">
        <v>102</v>
      </c>
    </row>
    <row r="8" spans="2:11" ht="15" thickBot="1">
      <c r="B8" s="46"/>
      <c r="C8" s="43" t="s">
        <v>45</v>
      </c>
      <c r="D8" s="50">
        <f>('Τύποι Παραγωγών-Χειμώνας'!C6+'Τύποι Παραγωγών-Χειμώνας'!C8)*('Δεδομένα-Χειμώνας'!B18*'Δεδομένα-Χειμώνας'!B19)</f>
        <v>220</v>
      </c>
      <c r="E8" s="181">
        <f>('Τύποι Παραγωγών-Καλοκαίρι'!C6+'Τύποι Παραγωγών-Καλοκαίρι'!C8)*('Δεδομένα-Καλοκαίρι'!B18*'Δεδομένα-Καλοκαίρι'!B19)</f>
        <v>220</v>
      </c>
      <c r="G8" s="77" t="s">
        <v>96</v>
      </c>
      <c r="H8" s="77">
        <f>'Τύποι Παραγωγών-Χειμώνας'!C7</f>
        <v>14</v>
      </c>
      <c r="I8" s="76" t="s">
        <v>102</v>
      </c>
      <c r="J8" s="75">
        <f>'Τύποι Παραγωγών-Καλοκαίρι'!C7</f>
        <v>14</v>
      </c>
      <c r="K8" s="76" t="s">
        <v>102</v>
      </c>
    </row>
    <row r="9" spans="2:11" ht="15" thickBot="1">
      <c r="B9" s="204" t="s">
        <v>48</v>
      </c>
      <c r="C9" s="205"/>
      <c r="D9" s="205"/>
      <c r="E9" s="206"/>
      <c r="G9" s="81" t="s">
        <v>98</v>
      </c>
      <c r="H9" s="179">
        <f>('Τύποι Παραγωγών-Χειμώνας'!C6+'Τύποι Παραγωγών-Χειμώνας'!C8)*'Δεδομένα-Χειμώνας'!B19</f>
        <v>11000</v>
      </c>
      <c r="I9" s="83" t="s">
        <v>103</v>
      </c>
      <c r="J9" s="82">
        <f>('Τύποι Παραγωγών-Καλοκαίρι'!C6+'Τύποι Παραγωγών-Καλοκαίρι'!C8)*'Δεδομένα-Καλοκαίρι'!B19</f>
        <v>11000</v>
      </c>
      <c r="K9" s="83" t="s">
        <v>103</v>
      </c>
    </row>
    <row r="10" spans="2:11" ht="29">
      <c r="B10" s="46"/>
      <c r="C10" s="43" t="s">
        <v>41</v>
      </c>
      <c r="D10" s="50">
        <f>'Τύποι Παραγωγών-Χειμώνας'!C9*'Δεδομένα-Χειμώνας'!B12</f>
        <v>36</v>
      </c>
      <c r="E10" s="181">
        <f>'Τύποι Παραγωγών-Καλοκαίρι'!C9*'Δεδομένα-Καλοκαίρι'!B12</f>
        <v>36</v>
      </c>
      <c r="G10" s="74" t="s">
        <v>99</v>
      </c>
      <c r="H10" s="77">
        <f>'Τύποι Παραγωγών-Χειμώνας'!C9</f>
        <v>18</v>
      </c>
      <c r="I10" s="76" t="s">
        <v>102</v>
      </c>
      <c r="J10" s="75">
        <f>'Τύποι Παραγωγών-Καλοκαίρι'!C9</f>
        <v>18</v>
      </c>
      <c r="K10" s="76" t="s">
        <v>102</v>
      </c>
    </row>
    <row r="11" spans="2:11" ht="29">
      <c r="B11" s="47"/>
      <c r="C11" s="42" t="s">
        <v>49</v>
      </c>
      <c r="D11" s="51">
        <f>'Τύποι Παραγωγών-Χειμώνας'!C9*'Δεδομένα-Χειμώνας'!B14</f>
        <v>270</v>
      </c>
      <c r="E11" s="182">
        <f>'Τύποι Παραγωγών-Καλοκαίρι'!C9*'Δεδομένα-Καλοκαίρι'!B14</f>
        <v>270</v>
      </c>
      <c r="G11" s="81" t="s">
        <v>100</v>
      </c>
      <c r="H11" s="179">
        <f>'Τύποι Παραγωγών-Χειμώνας'!C10</f>
        <v>150</v>
      </c>
      <c r="I11" s="83" t="s">
        <v>102</v>
      </c>
      <c r="J11" s="82">
        <f>'Τύποι Παραγωγών-Καλοκαίρι'!C10</f>
        <v>300</v>
      </c>
      <c r="K11" s="83" t="s">
        <v>102</v>
      </c>
    </row>
    <row r="12" spans="2:11" ht="29.5" thickBot="1">
      <c r="B12" s="46"/>
      <c r="C12" s="43" t="s">
        <v>50</v>
      </c>
      <c r="D12" s="50">
        <f>'Τύποι Παραγωγών-Χειμώνας'!C9*('Δεδομένα-Χειμώνας'!B19*'Δεδομένα-Χειμώνας'!B18)</f>
        <v>3.6</v>
      </c>
      <c r="E12" s="181">
        <f>'Τύποι Παραγωγών-Καλοκαίρι'!C9*('Δεδομένα-Καλοκαίρι'!B19*'Δεδομένα-Καλοκαίρι'!B18)</f>
        <v>3.6</v>
      </c>
      <c r="G12" s="78" t="s">
        <v>101</v>
      </c>
      <c r="H12" s="180">
        <f>'Τύποι Παραγωγών-Χειμώνας'!C9*'Δεδομένα-Χειμώνας'!B19</f>
        <v>180</v>
      </c>
      <c r="I12" s="80" t="s">
        <v>103</v>
      </c>
      <c r="J12" s="79">
        <f>'Τύποι Παραγωγών-Καλοκαίρι'!C9*'Δεδομένα-Καλοκαίρι'!B19</f>
        <v>180</v>
      </c>
      <c r="K12" s="80" t="s">
        <v>103</v>
      </c>
    </row>
    <row r="13" spans="2:11" ht="15" thickBot="1">
      <c r="B13" s="204" t="s">
        <v>51</v>
      </c>
      <c r="C13" s="205"/>
      <c r="D13" s="205"/>
      <c r="E13" s="206"/>
    </row>
    <row r="14" spans="2:11" ht="29">
      <c r="B14" s="46"/>
      <c r="C14" s="43" t="s">
        <v>42</v>
      </c>
      <c r="D14" s="50">
        <f>'Τύποι Παραγωγών-Χειμώνας'!C10*'Δεδομένα-Χειμώνας'!B13</f>
        <v>1200</v>
      </c>
      <c r="E14" s="181">
        <f>'Τύποι Παραγωγών-Καλοκαίρι'!C10*'Δεδομένα-Καλοκαίρι'!B13</f>
        <v>2400</v>
      </c>
    </row>
    <row r="15" spans="2:11" ht="29">
      <c r="B15" s="47"/>
      <c r="C15" s="42" t="s">
        <v>52</v>
      </c>
      <c r="D15" s="51">
        <f>'Τύποι Παραγωγών-Χειμώνας'!C10*'Δεδομένα-Χειμώνας'!B16</f>
        <v>45000</v>
      </c>
      <c r="E15" s="182">
        <f>'Τύποι Παραγωγών-Καλοκαίρι'!C10*'Δεδομένα-Καλοκαίρι'!B16</f>
        <v>90000</v>
      </c>
    </row>
    <row r="16" spans="2:11" ht="29.5" thickBot="1">
      <c r="B16" s="46"/>
      <c r="C16" s="43" t="s">
        <v>53</v>
      </c>
      <c r="D16" s="50">
        <f>'Τύποι Παραγωγών-Χειμώνας'!C10*('Δεδομένα-Χειμώνας'!B19*'Δεδομένα-Χειμώνας'!B20)</f>
        <v>1500</v>
      </c>
      <c r="E16" s="181">
        <f>'Τύποι Παραγωγών-Καλοκαίρι'!C10*('Δεδομένα-Καλοκαίρι'!B19*'Δεδομένα-Καλοκαίρι'!B20)</f>
        <v>3000</v>
      </c>
    </row>
    <row r="17" spans="2:6" ht="15" thickBot="1">
      <c r="B17" s="204" t="s">
        <v>54</v>
      </c>
      <c r="C17" s="205"/>
      <c r="D17" s="205"/>
      <c r="E17" s="206"/>
    </row>
    <row r="18" spans="2:6" ht="15" thickBot="1">
      <c r="B18" s="46"/>
      <c r="C18" s="43" t="s">
        <v>67</v>
      </c>
      <c r="D18" s="48">
        <f>'Αποτελέσματα-Χειμώνας'!C18*'Δεδομένα-Χειμώνας'!B22</f>
        <v>182592.59259259258</v>
      </c>
      <c r="E18" s="183">
        <f>'Αποτελέσματα-Καλοκαίρι'!C18*'Δεδομένα-Καλοκαίρι'!B22</f>
        <v>365185.18518518517</v>
      </c>
      <c r="F18" s="175"/>
    </row>
    <row r="19" spans="2:6" ht="16" thickBot="1">
      <c r="B19" s="44"/>
      <c r="C19" s="45" t="s">
        <v>108</v>
      </c>
      <c r="D19" s="49">
        <f>SUM(D6+D7+D8+D10+D11+D12+D14+D15+D16+D18)</f>
        <v>248652.19259259259</v>
      </c>
      <c r="E19" s="184">
        <f>SUM(E6+E7+E8+E10+E11+E12+E14+E15+E16+E18)</f>
        <v>478944.78518518514</v>
      </c>
    </row>
    <row r="20" spans="2:6" ht="15" thickBot="1">
      <c r="B20" s="23"/>
      <c r="C20" s="16"/>
      <c r="D20" s="16"/>
      <c r="E20" s="16"/>
    </row>
    <row r="21" spans="2:6" ht="15" thickBot="1">
      <c r="B21" s="207" t="s">
        <v>139</v>
      </c>
      <c r="C21" s="208"/>
      <c r="D21" s="208"/>
      <c r="E21" s="209"/>
    </row>
    <row r="22" spans="2:6">
      <c r="B22" s="52"/>
      <c r="C22" s="53" t="s">
        <v>69</v>
      </c>
      <c r="D22" s="53">
        <f>'Αποτελέσματα-Χειμώνας'!C42+'Αποτελέσματα-Καλοκαίρι'!C42+'Αποτελέσματα-Χειμώνας'!C30+'Αποτελέσματα-Καλοκαίρι'!C30</f>
        <v>71944.444444444438</v>
      </c>
      <c r="E22" s="54" t="s">
        <v>88</v>
      </c>
    </row>
    <row r="23" spans="2:6">
      <c r="B23" s="55"/>
      <c r="C23" s="56" t="s">
        <v>89</v>
      </c>
      <c r="D23" s="58">
        <f>'Αποτελέσματα-Χειμώνας'!C31+'Αποτελέσματα-Χειμώνας'!C43+'Αποτελέσματα-Καλοκαίρι'!C31+'Αποτελέσματα-Καλοκαίρι'!C43</f>
        <v>23861.200000000004</v>
      </c>
      <c r="E23" s="57" t="s">
        <v>88</v>
      </c>
    </row>
    <row r="24" spans="2:6">
      <c r="B24" s="52"/>
      <c r="C24" s="53" t="s">
        <v>90</v>
      </c>
      <c r="D24" s="58">
        <f>'Αποτελέσματα-Χειμώνας'!C32+'Αποτελέσματα-Χειμώνας'!C44+'Αποτελέσματα-Καλοκαίρι'!C32+'Αποτελέσματα-Καλοκαίρι'!C44</f>
        <v>27388.888888888891</v>
      </c>
      <c r="E24" s="54" t="s">
        <v>88</v>
      </c>
      <c r="F24" s="149"/>
    </row>
    <row r="25" spans="2:6">
      <c r="B25" s="55"/>
      <c r="C25" s="56" t="s">
        <v>91</v>
      </c>
      <c r="D25" s="58">
        <f>'Αποτελέσματα-Χειμώνας'!C33+'Αποτελέσματα-Χειμώνας'!C45+'Αποτελέσματα-Καλοκαίρι'!C33+'Αποτελέσματα-Καλοκαίρι'!C45</f>
        <v>9202.6666666666661</v>
      </c>
      <c r="E25" s="57" t="s">
        <v>88</v>
      </c>
    </row>
    <row r="26" spans="2:6">
      <c r="B26" s="52"/>
      <c r="C26" s="53" t="s">
        <v>70</v>
      </c>
      <c r="D26" s="58">
        <f>'Αποτελέσματα-Χειμώνας'!C25*'Δεδομένα-Χειμώνας'!B68</f>
        <v>24000</v>
      </c>
      <c r="E26" s="54" t="s">
        <v>88</v>
      </c>
    </row>
    <row r="27" spans="2:6">
      <c r="B27" s="55"/>
      <c r="C27" s="56" t="s">
        <v>82</v>
      </c>
      <c r="D27" s="58">
        <f>'Αποτελέσματα-Χειμώνας'!C46+'Αποτελέσματα-Χειμώνας'!C34+'Αποτελέσματα-Καλοκαίρι'!C34+'Αποτελέσματα-Καλοκαίρι'!C46</f>
        <v>45642.102183673465</v>
      </c>
      <c r="E27" s="57" t="s">
        <v>88</v>
      </c>
    </row>
    <row r="28" spans="2:6" ht="15" thickBot="1">
      <c r="B28" s="52"/>
      <c r="C28" s="53" t="s">
        <v>81</v>
      </c>
      <c r="D28" s="58">
        <f>'Αποτελέσματα-Χειμώνας'!C35+'Αποτελέσματα-Χειμώνας'!C47+'Αποτελέσματα-Καλοκαίρι'!C35+'Αποτελέσματα-Καλοκαίρι'!C47</f>
        <v>6285</v>
      </c>
      <c r="E28" s="54" t="s">
        <v>88</v>
      </c>
    </row>
    <row r="29" spans="2:6" ht="16" thickBot="1">
      <c r="B29" s="59"/>
      <c r="C29" s="60" t="s">
        <v>109</v>
      </c>
      <c r="D29" s="61">
        <f>SUM(D22:D28)</f>
        <v>208324.30218367348</v>
      </c>
      <c r="E29" s="62" t="s">
        <v>88</v>
      </c>
    </row>
    <row r="30" spans="2:6" ht="16" thickBot="1">
      <c r="B30" s="88"/>
      <c r="C30" s="89" t="s">
        <v>197</v>
      </c>
      <c r="D30" s="90">
        <f>(D22+D23+D24+D25)+D28</f>
        <v>138682.20000000001</v>
      </c>
      <c r="E30" s="91" t="s">
        <v>88</v>
      </c>
    </row>
    <row r="31" spans="2:6" ht="16" thickBot="1">
      <c r="B31" s="59"/>
      <c r="C31" s="60" t="s">
        <v>224</v>
      </c>
      <c r="D31" s="61">
        <f>(D30/(((('Τύποι Παραγωγών-Χειμώνας'!C6+'Τύποι Παραγωγών-Χειμώνας'!C8)*(7.35/7)+'Τύποι Παραγωγών-Χειμώνας'!C9*5+'Τύποι Παραγωγών-Χειμώνας'!C10*75)*(365/2))+(('Τύποι Παραγωγών-Καλοκαίρι'!C6+'Τύποι Παραγωγών-Καλοκαίρι'!C8)*1.31+'Τύποι Παραγωγών-Καλοκαίρι'!C9*5+'Τύποι Παραγωγών-Καλοκαίρι'!C10*75)*(365/2)))*1000</f>
        <v>20.804426045924131</v>
      </c>
      <c r="E31" s="62" t="s">
        <v>155</v>
      </c>
    </row>
    <row r="32" spans="2:6" ht="31.5" thickBot="1">
      <c r="B32" s="59"/>
      <c r="C32" s="60" t="s">
        <v>210</v>
      </c>
      <c r="D32" s="61">
        <f>('Αποτελέσματα-Χειμώνας'!C50+'Αποτελέσματα-Καλοκαίρι'!C50)</f>
        <v>27.633543992552298</v>
      </c>
      <c r="E32" s="62" t="s">
        <v>208</v>
      </c>
      <c r="F32" s="16"/>
    </row>
    <row r="33" spans="2:5" ht="31.5" thickBot="1">
      <c r="B33" s="59"/>
      <c r="C33" s="60" t="s">
        <v>211</v>
      </c>
      <c r="D33" s="61">
        <f>('Αποτελέσματα-Χειμώνας'!C39+'Αποτελέσματα-Καλοκαίρι'!C39)</f>
        <v>516.91111111111115</v>
      </c>
      <c r="E33" s="62" t="s">
        <v>209</v>
      </c>
    </row>
  </sheetData>
  <mergeCells count="9">
    <mergeCell ref="G4:K4"/>
    <mergeCell ref="B2:E2"/>
    <mergeCell ref="B17:E17"/>
    <mergeCell ref="B21:E21"/>
    <mergeCell ref="B5:E5"/>
    <mergeCell ref="B9:E9"/>
    <mergeCell ref="B13:E13"/>
    <mergeCell ref="H5:I5"/>
    <mergeCell ref="J5:K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Γενικά</vt:lpstr>
      <vt:lpstr>Τύποι Παραγωγών-Χειμώνας</vt:lpstr>
      <vt:lpstr>Τύποι Παραγωγών-Καλοκαίρι</vt:lpstr>
      <vt:lpstr>Δεδομένα-Χειμώνας</vt:lpstr>
      <vt:lpstr>Δεδομένα-Καλοκαίρι</vt:lpstr>
      <vt:lpstr>Αποτελέσματα-Χειμώνας</vt:lpstr>
      <vt:lpstr>Αποτελέσματα-Καλοκαίρι</vt:lpstr>
      <vt:lpstr>Συνολικά Αποτελέσματα</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Demetra Orthodoxou</dc:creator>
  <cp:lastModifiedBy>Michales-pc</cp:lastModifiedBy>
  <dcterms:created xsi:type="dcterms:W3CDTF">2019-06-20T11:43:19Z</dcterms:created>
  <dcterms:modified xsi:type="dcterms:W3CDTF">2019-07-17T07:34:32Z</dcterms:modified>
</cp:coreProperties>
</file>